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vsd" ContentType="application/vnd.visio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744" activeTab="1"/>
  </bookViews>
  <sheets>
    <sheet name="ИД" sheetId="1" r:id="rId1"/>
    <sheet name="ССРтек" sheetId="2" r:id="rId2"/>
    <sheet name="ОС-01-01тек" sheetId="19" r:id="rId3"/>
    <sheet name="ОС-06-01тек" sheetId="21" state="hidden" r:id="rId4"/>
    <sheet name="ОС-02-01 тек" sheetId="23" r:id="rId5"/>
    <sheet name="ССРбаз" sheetId="7" r:id="rId6"/>
    <sheet name="ОС-01-01" sheetId="6" r:id="rId7"/>
    <sheet name="ОС-06-01" sheetId="17" state="hidden" r:id="rId8"/>
    <sheet name="ОС-01-02" sheetId="22" r:id="rId9"/>
    <sheet name="в ПЗ" sheetId="8" r:id="rId10"/>
  </sheets>
  <definedNames>
    <definedName name="Print_Area" localSheetId="9">'в ПЗ'!$A$1:$C$10</definedName>
    <definedName name="Print_Area" localSheetId="0">ИД!$A$1:$E$31</definedName>
    <definedName name="Print_Area" localSheetId="6">'ОС-01-01'!$B$1:$I$28</definedName>
    <definedName name="Print_Area" localSheetId="2">'ОС-01-01тек'!$B$1:$I$30</definedName>
    <definedName name="Print_Area" localSheetId="7">'ОС-06-01'!$B$1:$I$31</definedName>
    <definedName name="Print_Area" localSheetId="3">'ОС-06-01тек'!$B$1:$I$31</definedName>
    <definedName name="Print_Area" localSheetId="5">ССРбаз!$B$1:$I$63</definedName>
    <definedName name="Print_Area" localSheetId="1">ССРтек!$B$1:$I$68</definedName>
    <definedName name="Print_Titles" localSheetId="6">'ОС-01-01'!$17:$17</definedName>
    <definedName name="Print_Titles" localSheetId="2">'ОС-01-01тек'!$17:$17</definedName>
    <definedName name="Print_Titles" localSheetId="7">'ОС-06-01'!#REF!</definedName>
    <definedName name="Print_Titles" localSheetId="3">'ОС-06-01тек'!#REF!</definedName>
    <definedName name="Print_Titles" localSheetId="5">ССРбаз!$17:$17</definedName>
    <definedName name="Print_Titles" localSheetId="1">ССРтек!$17:$17</definedName>
    <definedName name="_xlnm.Print_Titles" localSheetId="5">ССРбаз!$17:$17</definedName>
    <definedName name="_xlnm.Print_Titles" localSheetId="1">ССРтек!$17:$17</definedName>
    <definedName name="_xlnm.Print_Area" localSheetId="9">'в ПЗ'!$A$1:$C$13</definedName>
    <definedName name="_xlnm.Print_Area" localSheetId="0">ИД!$A$1:$E$37</definedName>
    <definedName name="_xlnm.Print_Area" localSheetId="6">'ОС-01-01'!$B$1:$I$33</definedName>
    <definedName name="_xlnm.Print_Area" localSheetId="2">'ОС-01-01тек'!$B$1:$I$34</definedName>
    <definedName name="_xlnm.Print_Area" localSheetId="8">'ОС-01-02'!$B$1:$I$31</definedName>
    <definedName name="_xlnm.Print_Area" localSheetId="4">'ОС-02-01 тек'!$B$1:$I$31</definedName>
    <definedName name="_xlnm.Print_Area" localSheetId="7">'ОС-06-01'!$B$1:$I$38</definedName>
    <definedName name="_xlnm.Print_Area" localSheetId="3">'ОС-06-01тек'!$B$1:$I$38</definedName>
    <definedName name="_xlnm.Print_Area" localSheetId="5">ССРбаз!$B$1:$I$67</definedName>
    <definedName name="_xlnm.Print_Area" localSheetId="1">ССРтек!$B$1:$I$68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9" l="1"/>
  <c r="H10" i="23"/>
  <c r="H10" i="6"/>
  <c r="H11" i="22"/>
  <c r="H10" i="22"/>
  <c r="F23" i="1"/>
  <c r="H49" i="7" l="1"/>
  <c r="H49" i="2"/>
  <c r="D49" i="2" l="1"/>
  <c r="D49" i="7" l="1"/>
  <c r="F23" i="2"/>
  <c r="H24" i="23"/>
  <c r="B21" i="19"/>
  <c r="D23" i="19"/>
  <c r="D23" i="6"/>
  <c r="D23" i="22"/>
  <c r="D23" i="23"/>
  <c r="F20" i="23"/>
  <c r="G20" i="23"/>
  <c r="G22" i="23" s="1"/>
  <c r="H20" i="23"/>
  <c r="H22" i="23" s="1"/>
  <c r="E20" i="23"/>
  <c r="B21" i="23"/>
  <c r="D19" i="23"/>
  <c r="C19" i="23"/>
  <c r="D18" i="23"/>
  <c r="C18" i="23"/>
  <c r="B5" i="23"/>
  <c r="G31" i="23"/>
  <c r="D31" i="23"/>
  <c r="G29" i="23"/>
  <c r="D29" i="23"/>
  <c r="G27" i="23"/>
  <c r="C23" i="23"/>
  <c r="A23" i="23"/>
  <c r="D21" i="23"/>
  <c r="C21" i="23"/>
  <c r="A21" i="23"/>
  <c r="F21" i="23" s="1"/>
  <c r="I19" i="23"/>
  <c r="B19" i="23"/>
  <c r="B23" i="23" s="1"/>
  <c r="I18" i="23"/>
  <c r="B1" i="23"/>
  <c r="H24" i="7"/>
  <c r="F23" i="7"/>
  <c r="F24" i="7" s="1"/>
  <c r="H24" i="22"/>
  <c r="G31" i="22"/>
  <c r="D31" i="22"/>
  <c r="G29" i="22"/>
  <c r="D29" i="22"/>
  <c r="G27" i="22"/>
  <c r="C23" i="22"/>
  <c r="A23" i="22"/>
  <c r="D21" i="22"/>
  <c r="C21" i="22"/>
  <c r="A21" i="22"/>
  <c r="G20" i="22"/>
  <c r="G22" i="22" s="1"/>
  <c r="F20" i="22"/>
  <c r="E20" i="22"/>
  <c r="E23" i="7" s="1"/>
  <c r="E24" i="7" s="1"/>
  <c r="I19" i="22"/>
  <c r="B19" i="22"/>
  <c r="B21" i="22" s="1"/>
  <c r="B23" i="22" s="1"/>
  <c r="I18" i="22"/>
  <c r="I10" i="22"/>
  <c r="B1" i="22"/>
  <c r="B21" i="6"/>
  <c r="F22" i="23" l="1"/>
  <c r="F21" i="22"/>
  <c r="F22" i="22" s="1"/>
  <c r="F23" i="22" s="1"/>
  <c r="F24" i="22" s="1"/>
  <c r="E21" i="23"/>
  <c r="E22" i="23" s="1"/>
  <c r="I20" i="23"/>
  <c r="G23" i="23"/>
  <c r="G24" i="23" s="1"/>
  <c r="G23" i="2"/>
  <c r="F23" i="23"/>
  <c r="F24" i="23" s="1"/>
  <c r="I21" i="23"/>
  <c r="I22" i="23" s="1"/>
  <c r="E23" i="2"/>
  <c r="E21" i="22"/>
  <c r="E22" i="22" s="1"/>
  <c r="E23" i="22" s="1"/>
  <c r="G23" i="22"/>
  <c r="G24" i="22" s="1"/>
  <c r="G23" i="7"/>
  <c r="G24" i="7" s="1"/>
  <c r="G28" i="7" s="1"/>
  <c r="I21" i="22"/>
  <c r="I23" i="7"/>
  <c r="I24" i="7" s="1"/>
  <c r="I20" i="22"/>
  <c r="I22" i="22" l="1"/>
  <c r="E23" i="23"/>
  <c r="E24" i="23"/>
  <c r="I23" i="22"/>
  <c r="I24" i="22" s="1"/>
  <c r="H9" i="22" s="1"/>
  <c r="E24" i="22"/>
  <c r="I23" i="23"/>
  <c r="I24" i="23" s="1"/>
  <c r="H9" i="23" s="1"/>
  <c r="H11" i="23" s="1"/>
  <c r="E28" i="1" l="1"/>
  <c r="E27" i="1"/>
  <c r="E23" i="1" l="1"/>
  <c r="E35" i="1" l="1"/>
  <c r="E34" i="1"/>
  <c r="E33" i="1"/>
  <c r="D35" i="1"/>
  <c r="D34" i="1"/>
  <c r="D33" i="1"/>
  <c r="E30" i="1" l="1"/>
  <c r="H48" i="7" l="1"/>
  <c r="D48" i="7"/>
  <c r="H47" i="7"/>
  <c r="D47" i="7"/>
  <c r="H46" i="7"/>
  <c r="D46" i="7"/>
  <c r="K36" i="1"/>
  <c r="I36" i="1" l="1"/>
  <c r="F20" i="19" l="1"/>
  <c r="G20" i="19"/>
  <c r="H20" i="19"/>
  <c r="E20" i="19"/>
  <c r="F20" i="6"/>
  <c r="G20" i="6"/>
  <c r="H20" i="6"/>
  <c r="E20" i="6"/>
  <c r="C64" i="2" l="1"/>
  <c r="C62" i="7" s="1"/>
  <c r="D34" i="7" l="1"/>
  <c r="I58" i="2" l="1"/>
  <c r="F35" i="1"/>
  <c r="H33" i="1"/>
  <c r="H34" i="2" l="1"/>
  <c r="H34" i="7" s="1"/>
  <c r="D34" i="2"/>
  <c r="B20" i="2" l="1"/>
  <c r="B23" i="2" s="1"/>
  <c r="B26" i="2" s="1"/>
  <c r="B30" i="2" s="1"/>
  <c r="B20" i="7"/>
  <c r="B23" i="7" s="1"/>
  <c r="B26" i="7" s="1"/>
  <c r="B30" i="7" s="1"/>
  <c r="I10" i="6" l="1"/>
  <c r="F39" i="2" l="1"/>
  <c r="G39" i="2"/>
  <c r="E39" i="2"/>
  <c r="D38" i="2" l="1"/>
  <c r="C38" i="2"/>
  <c r="D35" i="2"/>
  <c r="C35" i="2"/>
  <c r="F39" i="7"/>
  <c r="G39" i="7"/>
  <c r="E39" i="7"/>
  <c r="C38" i="7"/>
  <c r="C35" i="7"/>
  <c r="D38" i="7"/>
  <c r="H35" i="2"/>
  <c r="I35" i="2" s="1"/>
  <c r="H35" i="7" l="1"/>
  <c r="I35" i="7" s="1"/>
  <c r="H38" i="7"/>
  <c r="I38" i="7" s="1"/>
  <c r="H38" i="2"/>
  <c r="I38" i="2" s="1"/>
  <c r="D35" i="7"/>
  <c r="E24" i="1" l="1"/>
  <c r="H19" i="7"/>
  <c r="H19" i="2" l="1"/>
  <c r="H21" i="7"/>
  <c r="H28" i="7" s="1"/>
  <c r="I26" i="2"/>
  <c r="F27" i="2"/>
  <c r="G27" i="2"/>
  <c r="H27" i="2"/>
  <c r="E27" i="2"/>
  <c r="D26" i="2"/>
  <c r="C26" i="2"/>
  <c r="I23" i="2"/>
  <c r="K28" i="2" s="1"/>
  <c r="D23" i="2"/>
  <c r="C23" i="2"/>
  <c r="B34" i="2"/>
  <c r="B35" i="2" s="1"/>
  <c r="B36" i="2" s="1"/>
  <c r="B38" i="2" s="1"/>
  <c r="B42" i="2" s="1"/>
  <c r="D20" i="2"/>
  <c r="C20" i="2"/>
  <c r="D19" i="2"/>
  <c r="G31" i="19"/>
  <c r="D31" i="19"/>
  <c r="G29" i="19"/>
  <c r="D29" i="19"/>
  <c r="G27" i="19"/>
  <c r="I27" i="2" l="1"/>
  <c r="H64" i="2"/>
  <c r="C19" i="7"/>
  <c r="C19" i="2" s="1"/>
  <c r="D19" i="7"/>
  <c r="I19" i="7" l="1"/>
  <c r="H31" i="7"/>
  <c r="G31" i="7"/>
  <c r="F27" i="7"/>
  <c r="F28" i="7" s="1"/>
  <c r="G27" i="7"/>
  <c r="H27" i="7"/>
  <c r="E27" i="7"/>
  <c r="H32" i="7"/>
  <c r="G27" i="6"/>
  <c r="H62" i="7" l="1"/>
  <c r="H34" i="1" l="1"/>
  <c r="I19" i="19" l="1"/>
  <c r="F22" i="6"/>
  <c r="I19" i="6"/>
  <c r="B19" i="19"/>
  <c r="B23" i="19" s="1"/>
  <c r="D19" i="19"/>
  <c r="C19" i="19"/>
  <c r="B19" i="6"/>
  <c r="B23" i="6" s="1"/>
  <c r="F50" i="7" l="1"/>
  <c r="G50" i="7"/>
  <c r="E50" i="7"/>
  <c r="E50" i="2"/>
  <c r="F50" i="2"/>
  <c r="G50" i="2"/>
  <c r="C49" i="2"/>
  <c r="C49" i="7"/>
  <c r="D48" i="2" l="1"/>
  <c r="C48" i="2"/>
  <c r="D47" i="2"/>
  <c r="C47" i="2"/>
  <c r="D46" i="2"/>
  <c r="C46" i="2"/>
  <c r="C48" i="7"/>
  <c r="C47" i="7"/>
  <c r="C46" i="7" l="1"/>
  <c r="I49" i="2" l="1"/>
  <c r="H48" i="2" l="1"/>
  <c r="I48" i="2" s="1"/>
  <c r="I48" i="7"/>
  <c r="H47" i="2"/>
  <c r="I47" i="2" s="1"/>
  <c r="I47" i="7"/>
  <c r="H46" i="2"/>
  <c r="I59" i="2" l="1"/>
  <c r="I56" i="7"/>
  <c r="I49" i="7"/>
  <c r="G22" i="6" l="1"/>
  <c r="H22" i="6"/>
  <c r="H36" i="7" l="1"/>
  <c r="H39" i="7" s="1"/>
  <c r="I55" i="7" l="1"/>
  <c r="B2" i="8"/>
  <c r="G22" i="19" l="1"/>
  <c r="G24" i="19" s="1"/>
  <c r="H22" i="19"/>
  <c r="H24" i="19" s="1"/>
  <c r="D18" i="19"/>
  <c r="C18" i="19"/>
  <c r="B5" i="19" l="1"/>
  <c r="C30" i="2" l="1"/>
  <c r="C21" i="19" l="1"/>
  <c r="D36" i="7" l="1"/>
  <c r="H36" i="2"/>
  <c r="B34" i="7" l="1"/>
  <c r="B35" i="7" s="1"/>
  <c r="B36" i="7" s="1"/>
  <c r="B37" i="7" l="1"/>
  <c r="B38" i="7"/>
  <c r="B42" i="7" s="1"/>
  <c r="B45" i="7" s="1"/>
  <c r="B46" i="7" s="1"/>
  <c r="B14" i="2" l="1"/>
  <c r="F24" i="2"/>
  <c r="G24" i="2" l="1"/>
  <c r="H24" i="2"/>
  <c r="D25" i="17"/>
  <c r="D25" i="21"/>
  <c r="I24" i="2" l="1"/>
  <c r="E24" i="2"/>
  <c r="J24" i="2" l="1"/>
  <c r="G37" i="21"/>
  <c r="D37" i="21"/>
  <c r="G35" i="21"/>
  <c r="D35" i="21"/>
  <c r="G33" i="21"/>
  <c r="D33" i="21"/>
  <c r="G31" i="21"/>
  <c r="D27" i="21"/>
  <c r="C27" i="21"/>
  <c r="A27" i="21"/>
  <c r="C25" i="21"/>
  <c r="C23" i="21"/>
  <c r="H22" i="21"/>
  <c r="H24" i="21" s="1"/>
  <c r="H26" i="21" s="1"/>
  <c r="G22" i="21"/>
  <c r="G24" i="21" s="1"/>
  <c r="G26" i="21" s="1"/>
  <c r="F22" i="21"/>
  <c r="E22" i="21"/>
  <c r="I21" i="21"/>
  <c r="I20" i="21"/>
  <c r="B20" i="21"/>
  <c r="B21" i="21" s="1"/>
  <c r="B23" i="21" s="1"/>
  <c r="B25" i="21" s="1"/>
  <c r="B27" i="21" s="1"/>
  <c r="I19" i="21"/>
  <c r="B19" i="21"/>
  <c r="I18" i="21"/>
  <c r="I10" i="21"/>
  <c r="H10" i="21"/>
  <c r="B1" i="21"/>
  <c r="C23" i="19"/>
  <c r="A23" i="19"/>
  <c r="F20" i="2"/>
  <c r="F21" i="2" s="1"/>
  <c r="E20" i="2"/>
  <c r="I18" i="19"/>
  <c r="I20" i="19" s="1"/>
  <c r="B1" i="19"/>
  <c r="E21" i="2" l="1"/>
  <c r="H20" i="2"/>
  <c r="H21" i="2" s="1"/>
  <c r="G20" i="2"/>
  <c r="G21" i="2" s="1"/>
  <c r="I22" i="21"/>
  <c r="G27" i="21"/>
  <c r="G28" i="21" s="1"/>
  <c r="H27" i="21"/>
  <c r="H28" i="21" s="1"/>
  <c r="D37" i="7" l="1"/>
  <c r="D37" i="2"/>
  <c r="B23" i="17" l="1"/>
  <c r="I36" i="2" l="1"/>
  <c r="I37" i="2"/>
  <c r="H39" i="2"/>
  <c r="I37" i="7"/>
  <c r="I34" i="7"/>
  <c r="C36" i="7"/>
  <c r="C37" i="7"/>
  <c r="C30" i="7"/>
  <c r="C25" i="17"/>
  <c r="F20" i="7"/>
  <c r="F21" i="7" s="1"/>
  <c r="E20" i="7"/>
  <c r="E21" i="7" s="1"/>
  <c r="E28" i="7" s="1"/>
  <c r="I18" i="6"/>
  <c r="I20" i="6" s="1"/>
  <c r="C37" i="2"/>
  <c r="C36" i="2"/>
  <c r="I34" i="2" l="1"/>
  <c r="I39" i="2" s="1"/>
  <c r="I36" i="7"/>
  <c r="I39" i="7" s="1"/>
  <c r="B25" i="17"/>
  <c r="C23" i="17"/>
  <c r="B1" i="17"/>
  <c r="B1" i="6"/>
  <c r="G37" i="17"/>
  <c r="D37" i="17"/>
  <c r="G35" i="17"/>
  <c r="D35" i="17"/>
  <c r="G33" i="17"/>
  <c r="D33" i="17"/>
  <c r="G31" i="17"/>
  <c r="D27" i="17"/>
  <c r="C27" i="17"/>
  <c r="A27" i="17"/>
  <c r="H22" i="17"/>
  <c r="H24" i="17" s="1"/>
  <c r="H26" i="17" s="1"/>
  <c r="G22" i="17"/>
  <c r="F22" i="17"/>
  <c r="E22" i="17"/>
  <c r="I21" i="17"/>
  <c r="I20" i="17"/>
  <c r="I19" i="17"/>
  <c r="B19" i="17"/>
  <c r="B20" i="17" s="1"/>
  <c r="B21" i="17" s="1"/>
  <c r="I18" i="17"/>
  <c r="I10" i="17"/>
  <c r="H10" i="17"/>
  <c r="J39" i="2" l="1"/>
  <c r="J39" i="7"/>
  <c r="E28" i="2"/>
  <c r="G24" i="17"/>
  <c r="G26" i="17" s="1"/>
  <c r="G27" i="17" s="1"/>
  <c r="I22" i="17"/>
  <c r="B27" i="17"/>
  <c r="H27" i="17"/>
  <c r="H28" i="17" s="1"/>
  <c r="G28" i="17" l="1"/>
  <c r="G28" i="2"/>
  <c r="I26" i="7"/>
  <c r="I27" i="7" s="1"/>
  <c r="F28" i="2" l="1"/>
  <c r="G25" i="1"/>
  <c r="A21" i="19" s="1"/>
  <c r="F21" i="19" l="1"/>
  <c r="E21" i="19"/>
  <c r="A23" i="17"/>
  <c r="A23" i="21"/>
  <c r="D23" i="17"/>
  <c r="A21" i="6"/>
  <c r="E21" i="6" s="1"/>
  <c r="E22" i="6" s="1"/>
  <c r="D23" i="21"/>
  <c r="D21" i="19"/>
  <c r="D30" i="7"/>
  <c r="D30" i="2" s="1"/>
  <c r="A30" i="7"/>
  <c r="I21" i="19" l="1"/>
  <c r="F30" i="7"/>
  <c r="F31" i="7" s="1"/>
  <c r="F32" i="7" s="1"/>
  <c r="E30" i="7"/>
  <c r="I21" i="6"/>
  <c r="I22" i="6" s="1"/>
  <c r="F22" i="19"/>
  <c r="F23" i="19" s="1"/>
  <c r="E22" i="19"/>
  <c r="E23" i="19" s="1"/>
  <c r="A30" i="2"/>
  <c r="E23" i="21"/>
  <c r="F23" i="21"/>
  <c r="F24" i="21" s="1"/>
  <c r="F25" i="21" s="1"/>
  <c r="F26" i="21" s="1"/>
  <c r="F27" i="21" s="1"/>
  <c r="F28" i="21" s="1"/>
  <c r="E23" i="17"/>
  <c r="E24" i="17" s="1"/>
  <c r="F23" i="17"/>
  <c r="F24" i="17" s="1"/>
  <c r="E31" i="7" l="1"/>
  <c r="E32" i="7" s="1"/>
  <c r="I30" i="7"/>
  <c r="I31" i="7" s="1"/>
  <c r="F30" i="2"/>
  <c r="F31" i="2" s="1"/>
  <c r="F32" i="2" s="1"/>
  <c r="E30" i="2"/>
  <c r="E31" i="2" s="1"/>
  <c r="E32" i="2" s="1"/>
  <c r="E24" i="21"/>
  <c r="I23" i="21"/>
  <c r="I24" i="21" s="1"/>
  <c r="I22" i="19"/>
  <c r="I23" i="17"/>
  <c r="I24" i="17" s="1"/>
  <c r="F25" i="17"/>
  <c r="F26" i="17" s="1"/>
  <c r="F27" i="17" s="1"/>
  <c r="F28" i="17" s="1"/>
  <c r="E25" i="17"/>
  <c r="E26" i="17" s="1"/>
  <c r="E27" i="17" s="1"/>
  <c r="F24" i="19" l="1"/>
  <c r="E24" i="19"/>
  <c r="E25" i="21"/>
  <c r="I25" i="21" s="1"/>
  <c r="I26" i="21" s="1"/>
  <c r="I27" i="17"/>
  <c r="I25" i="17"/>
  <c r="I26" i="17" s="1"/>
  <c r="E28" i="17"/>
  <c r="E26" i="21" l="1"/>
  <c r="E27" i="21" s="1"/>
  <c r="I27" i="21" s="1"/>
  <c r="I28" i="21" s="1"/>
  <c r="H9" i="21" s="1"/>
  <c r="H11" i="21" s="1"/>
  <c r="I28" i="17"/>
  <c r="H9" i="17" s="1"/>
  <c r="H11" i="17" s="1"/>
  <c r="I23" i="19" l="1"/>
  <c r="I24" i="19" s="1"/>
  <c r="E28" i="21"/>
  <c r="I46" i="2"/>
  <c r="H9" i="19" l="1"/>
  <c r="H11" i="19" s="1"/>
  <c r="C53" i="2" l="1"/>
  <c r="C45" i="2"/>
  <c r="D36" i="2"/>
  <c r="C53" i="7"/>
  <c r="C45" i="7"/>
  <c r="I46" i="7" l="1"/>
  <c r="H24" i="6" l="1"/>
  <c r="G20" i="7" l="1"/>
  <c r="G21" i="7" s="1"/>
  <c r="G31" i="6"/>
  <c r="H59" i="7"/>
  <c r="C61" i="2"/>
  <c r="C59" i="7" s="1"/>
  <c r="H61" i="2"/>
  <c r="D29" i="6"/>
  <c r="D31" i="6"/>
  <c r="G29" i="6"/>
  <c r="J24" i="7" l="1"/>
  <c r="G24" i="6"/>
  <c r="G32" i="7" l="1"/>
  <c r="A42" i="7"/>
  <c r="A42" i="2"/>
  <c r="A23" i="6" l="1"/>
  <c r="E23" i="6" s="1"/>
  <c r="E24" i="6" s="1"/>
  <c r="C23" i="6"/>
  <c r="C21" i="6"/>
  <c r="F23" i="6" l="1"/>
  <c r="F24" i="6" s="1"/>
  <c r="D21" i="6"/>
  <c r="C34" i="2" l="1"/>
  <c r="D2" i="7"/>
  <c r="C42" i="7" l="1"/>
  <c r="C42" i="2" s="1"/>
  <c r="G31" i="2" l="1"/>
  <c r="H31" i="2"/>
  <c r="G32" i="2" l="1"/>
  <c r="I23" i="6" l="1"/>
  <c r="I24" i="6" s="1"/>
  <c r="G40" i="2"/>
  <c r="G51" i="2" s="1"/>
  <c r="G40" i="7"/>
  <c r="G51" i="7" s="1"/>
  <c r="G53" i="7" s="1"/>
  <c r="H9" i="6" l="1"/>
  <c r="H11" i="6" s="1"/>
  <c r="G54" i="7"/>
  <c r="H40" i="7" l="1"/>
  <c r="D12" i="7" l="1"/>
  <c r="D12" i="2"/>
  <c r="A7" i="8" l="1"/>
  <c r="A4" i="8" l="1"/>
  <c r="D2" i="2" l="1"/>
  <c r="A53" i="2"/>
  <c r="G53" i="2" s="1"/>
  <c r="C34" i="7"/>
  <c r="G54" i="2" l="1"/>
  <c r="G56" i="2" l="1"/>
  <c r="G57" i="2" s="1"/>
  <c r="D57" i="2"/>
  <c r="H28" i="2"/>
  <c r="F40" i="7" l="1"/>
  <c r="F51" i="7" s="1"/>
  <c r="F53" i="7" s="1"/>
  <c r="I19" i="2"/>
  <c r="I20" i="7"/>
  <c r="K28" i="7" s="1"/>
  <c r="I21" i="7" l="1"/>
  <c r="I28" i="7" s="1"/>
  <c r="J21" i="7"/>
  <c r="B37" i="2"/>
  <c r="F40" i="2"/>
  <c r="F51" i="2" s="1"/>
  <c r="F53" i="2" s="1"/>
  <c r="H32" i="2"/>
  <c r="H40" i="2" s="1"/>
  <c r="I20" i="2"/>
  <c r="I21" i="2" s="1"/>
  <c r="J21" i="2" l="1"/>
  <c r="J28" i="7"/>
  <c r="B45" i="2"/>
  <c r="B46" i="2" s="1"/>
  <c r="B47" i="7"/>
  <c r="B48" i="7" s="1"/>
  <c r="B49" i="7" s="1"/>
  <c r="B53" i="7" s="1"/>
  <c r="J31" i="7"/>
  <c r="I32" i="7" l="1"/>
  <c r="J32" i="7"/>
  <c r="B47" i="2"/>
  <c r="B48" i="2" s="1"/>
  <c r="B49" i="2" s="1"/>
  <c r="B53" i="2" s="1"/>
  <c r="B56" i="2" s="1"/>
  <c r="J28" i="2"/>
  <c r="I28" i="2"/>
  <c r="F54" i="2"/>
  <c r="E40" i="7" l="1"/>
  <c r="I40" i="7"/>
  <c r="H42" i="7" s="1"/>
  <c r="F56" i="2"/>
  <c r="F57" i="2" s="1"/>
  <c r="I30" i="2"/>
  <c r="H43" i="7" l="1"/>
  <c r="D42" i="7"/>
  <c r="I31" i="2"/>
  <c r="I32" i="2" s="1"/>
  <c r="E51" i="7"/>
  <c r="E53" i="7" s="1"/>
  <c r="J40" i="7"/>
  <c r="D45" i="7"/>
  <c r="H45" i="7"/>
  <c r="H50" i="7" s="1"/>
  <c r="J31" i="2"/>
  <c r="I42" i="7" l="1"/>
  <c r="E54" i="7"/>
  <c r="J32" i="2"/>
  <c r="I45" i="7"/>
  <c r="I50" i="7" s="1"/>
  <c r="F54" i="7"/>
  <c r="J50" i="7" l="1"/>
  <c r="E40" i="2"/>
  <c r="H51" i="7"/>
  <c r="H53" i="7" s="1"/>
  <c r="I53" i="7" s="1"/>
  <c r="I43" i="7"/>
  <c r="E51" i="2" l="1"/>
  <c r="J51" i="7"/>
  <c r="I51" i="7"/>
  <c r="I40" i="2" l="1"/>
  <c r="H42" i="2" s="1"/>
  <c r="E53" i="2"/>
  <c r="E54" i="2" s="1"/>
  <c r="J40" i="2"/>
  <c r="I42" i="2" l="1"/>
  <c r="I43" i="2" s="1"/>
  <c r="D42" i="2"/>
  <c r="D45" i="2"/>
  <c r="H45" i="2"/>
  <c r="H50" i="2" s="1"/>
  <c r="H43" i="2"/>
  <c r="E56" i="2"/>
  <c r="E57" i="2" s="1"/>
  <c r="B8" i="8" s="1"/>
  <c r="B5" i="8"/>
  <c r="H54" i="7"/>
  <c r="J54" i="7" s="1"/>
  <c r="I45" i="2" l="1"/>
  <c r="I50" i="2" s="1"/>
  <c r="I51" i="2" s="1"/>
  <c r="H51" i="2"/>
  <c r="J51" i="2" l="1"/>
  <c r="H53" i="2"/>
  <c r="H54" i="2" s="1"/>
  <c r="H56" i="2" s="1"/>
  <c r="I56" i="2" s="1"/>
  <c r="I54" i="7"/>
  <c r="C6" i="7" s="1"/>
  <c r="H57" i="2" l="1"/>
  <c r="I53" i="2"/>
  <c r="I54" i="2" s="1"/>
  <c r="B4" i="8" s="1"/>
  <c r="J54" i="2" l="1"/>
  <c r="I57" i="2"/>
  <c r="C6" i="2" s="1"/>
  <c r="J57" i="2"/>
  <c r="B7" i="8" l="1"/>
  <c r="B10" i="8" s="1"/>
</calcChain>
</file>

<file path=xl/comments1.xml><?xml version="1.0" encoding="utf-8"?>
<comments xmlns="http://schemas.openxmlformats.org/spreadsheetml/2006/main">
  <authors>
    <author>Автор</author>
  </authors>
  <commentList>
    <comment ref="E17" authorId="0" shapeId="0">
      <text>
        <r>
          <rPr>
            <b/>
            <sz val="8"/>
            <color indexed="81"/>
            <rFont val="Times New Roman"/>
            <family val="1"/>
            <charset val="204"/>
          </rPr>
          <t>Письмо Госстроя России от 04.01.2001  № 3412/10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18" authorId="0" shapeId="0">
      <text>
        <r>
          <rPr>
            <b/>
            <sz val="8"/>
            <color indexed="81"/>
            <rFont val="Times New Roman"/>
            <family val="1"/>
            <charset val="204"/>
          </rPr>
          <t>Письмо Госстроя России от 07.10.1999 № АШ-9/10</t>
        </r>
      </text>
    </comment>
  </commentList>
</comments>
</file>

<file path=xl/sharedStrings.xml><?xml version="1.0" encoding="utf-8"?>
<sst xmlns="http://schemas.openxmlformats.org/spreadsheetml/2006/main" count="389" uniqueCount="177">
  <si>
    <t>Объект</t>
  </si>
  <si>
    <t xml:space="preserve">Изыскания </t>
  </si>
  <si>
    <t xml:space="preserve">Проектные </t>
  </si>
  <si>
    <t>Экспертиза</t>
  </si>
  <si>
    <t xml:space="preserve">ПРОЧИЕ ЗАТРАТЫ </t>
  </si>
  <si>
    <t>база</t>
  </si>
  <si>
    <t>текущие</t>
  </si>
  <si>
    <t>%</t>
  </si>
  <si>
    <t>Форма № 1</t>
  </si>
  <si>
    <t xml:space="preserve">Заказчик </t>
  </si>
  <si>
    <t>(наименование организации)</t>
  </si>
  <si>
    <t>(ссылка на документ об утверждении)</t>
  </si>
  <si>
    <t>(наименование стройки)</t>
  </si>
  <si>
    <t>№ пп</t>
  </si>
  <si>
    <t>Сметная стоимость, тыс. руб.</t>
  </si>
  <si>
    <t>монтажных работ</t>
  </si>
  <si>
    <t>№ п/п</t>
  </si>
  <si>
    <t>Сметная стоимость, тыс.руб.</t>
  </si>
  <si>
    <t>всего</t>
  </si>
  <si>
    <t>1</t>
  </si>
  <si>
    <t>2</t>
  </si>
  <si>
    <t>3</t>
  </si>
  <si>
    <t>4</t>
  </si>
  <si>
    <t>5</t>
  </si>
  <si>
    <t>6</t>
  </si>
  <si>
    <t>7</t>
  </si>
  <si>
    <t>8</t>
  </si>
  <si>
    <t xml:space="preserve">Составлен в базисном уровне цен 2001г. </t>
  </si>
  <si>
    <t xml:space="preserve"> тыс. руб.</t>
  </si>
  <si>
    <t>Глава 1. Подготовка территории строительства</t>
  </si>
  <si>
    <t>Главный инженер проекта</t>
  </si>
  <si>
    <t>Составил</t>
  </si>
  <si>
    <t>Проверил</t>
  </si>
  <si>
    <t>Итого по Главе 1</t>
  </si>
  <si>
    <t>Глава 2. Основные объекты строительства</t>
  </si>
  <si>
    <t>Итого по Главе 2</t>
  </si>
  <si>
    <t>Итого по по главам 1-7</t>
  </si>
  <si>
    <t>Глава 8. Временные здания и сооружения</t>
  </si>
  <si>
    <t>Итого по Главе 8</t>
  </si>
  <si>
    <t>Итого по по главам 1-8</t>
  </si>
  <si>
    <t>Глава 9. Прочие работы и затраты</t>
  </si>
  <si>
    <t>Итого по Главе 9</t>
  </si>
  <si>
    <t>Итого по по главам 1-9</t>
  </si>
  <si>
    <t>Итого по Главе 12</t>
  </si>
  <si>
    <t>Итого по по главам 1-12</t>
  </si>
  <si>
    <t>Непредвиденные затраты</t>
  </si>
  <si>
    <t>Итого с непредвиденными</t>
  </si>
  <si>
    <t>Налоги и обязательные платежи</t>
  </si>
  <si>
    <t xml:space="preserve">НДС 20% </t>
  </si>
  <si>
    <t>Возвратные суммы</t>
  </si>
  <si>
    <t>Заказчик:</t>
  </si>
  <si>
    <t>в том числе строительно-монтажных работ</t>
  </si>
  <si>
    <t xml:space="preserve">в том числе строительно-монтажных работ </t>
  </si>
  <si>
    <t xml:space="preserve"> тыс. руб. </t>
  </si>
  <si>
    <t>Глава 10. Содержание службы заказчика. Строительный контроль</t>
  </si>
  <si>
    <t>Строительный контроль</t>
  </si>
  <si>
    <t>Итого по Главе 10</t>
  </si>
  <si>
    <t>Непредвиденные работы и затраты 3%</t>
  </si>
  <si>
    <t>Непредвиденные работы и затраты</t>
  </si>
  <si>
    <t>Пусконаладка</t>
  </si>
  <si>
    <t>Итого</t>
  </si>
  <si>
    <t>Всего</t>
  </si>
  <si>
    <t>Основание ________________________________________________________________________________</t>
  </si>
  <si>
    <t>Сметная стоимость ______________________________________________________________</t>
  </si>
  <si>
    <t>Расчетный измеритель
объекта капитального строительства _____________________________________________</t>
  </si>
  <si>
    <t>Показатель единичной стоимости
на расчетный измеритель объекта капитальнго строительства_________________________</t>
  </si>
  <si>
    <t xml:space="preserve"> руб.</t>
  </si>
  <si>
    <t>Обоснование</t>
  </si>
  <si>
    <t>Наименование локальных сметных расчетов (смет), затрат</t>
  </si>
  <si>
    <t>строительных (ремонтно-строительных, ремонтно-реставрационных)
работ</t>
  </si>
  <si>
    <t>оборудования</t>
  </si>
  <si>
    <t>прочих
затрат</t>
  </si>
  <si>
    <t>Методика утв. Приказом Минстрой РФ от 04.08.2020г. №421/пр п.173</t>
  </si>
  <si>
    <t xml:space="preserve">Авторский надзор </t>
  </si>
  <si>
    <t>Методика утв. Приказом Минстрой РФ от 04.08.2020г. №421/пр п.179</t>
  </si>
  <si>
    <t>тек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</si>
  <si>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</si>
  <si>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Наименование глав, объекто, капиталного строительства, работ и затрат</t>
  </si>
  <si>
    <t>строительных (ремонтно-строительных, ремонтно-реставрационных) работ</t>
  </si>
  <si>
    <t>прочих затрат</t>
  </si>
  <si>
    <t>Закон РФ от 03.08.18 г.
№303-ФЗ.</t>
  </si>
  <si>
    <t>Стоимость размещения отходов на полигоне ТБО</t>
  </si>
  <si>
    <t>СР-1</t>
  </si>
  <si>
    <t>Глава 7. Благоустройство и озеленение территории</t>
  </si>
  <si>
    <t>Итого по Главе 7</t>
  </si>
  <si>
    <t>ЛС-01-01-01</t>
  </si>
  <si>
    <t>ЛС-01-01-02</t>
  </si>
  <si>
    <t>ОБЪЕКТНЫЙ СМЕТНЫЙ РАСЧЕТ № ОС-01-01</t>
  </si>
  <si>
    <t>ЛС-02-01-01</t>
  </si>
  <si>
    <t>ОБЪЕКТНЫЙ СМЕТНЫЙ РАСЧЕТ № ОС-06-01</t>
  </si>
  <si>
    <t>ЛС-06-01-01</t>
  </si>
  <si>
    <t>ЛС-06-01-02</t>
  </si>
  <si>
    <t>ЛС-06-01-03</t>
  </si>
  <si>
    <t>ЛС-06-01-04</t>
  </si>
  <si>
    <t>ЛС-07-01-01</t>
  </si>
  <si>
    <t>Хозяйственно-питевой водопровод</t>
  </si>
  <si>
    <t>Ливневая канализация</t>
  </si>
  <si>
    <t>Хозяйственно-бытовая канализация</t>
  </si>
  <si>
    <t>ОС-01-01</t>
  </si>
  <si>
    <t>Переустройство тепловых сетей</t>
  </si>
  <si>
    <t xml:space="preserve">Наружные сети и сооружения водоснабжения, водоотведения, теплоснабжения и газоснабжения </t>
  </si>
  <si>
    <t xml:space="preserve">Наружные сети и сооружения водоснабжения, водоотведения, теплоснабжения и газоснабжения  </t>
  </si>
  <si>
    <t xml:space="preserve">Составлен в текущем уровне цен 1 кв.2021г. </t>
  </si>
  <si>
    <t>Плата за технологическое присоединение к сетям АО "ДРСК"</t>
  </si>
  <si>
    <t>Приложение №1 к договору №1428/21-ТП от 05.04.2021,счет №АS-з 1428/21 от 05.04.2021</t>
  </si>
  <si>
    <t>Разработка проектной документации</t>
  </si>
  <si>
    <t>Проведение государственной экспертизы по объекту</t>
  </si>
  <si>
    <t>Разработка рабочей документации</t>
  </si>
  <si>
    <t>СВОДНЫЙ СМЕТНЫЙ РАСЧЕТ СТОИМОСТИ СТРОИТЕЛЬСТВА № ССРСР-01</t>
  </si>
  <si>
    <t>СВОДНЫЙ СМЕТНЫЙ РАСЧЕТ СТОИМОСТИ СТРОИТЕЛЬСТВА№ ССРСР-01</t>
  </si>
  <si>
    <t xml:space="preserve">Генеральный директор </t>
  </si>
  <si>
    <t>Объект-аналог</t>
  </si>
  <si>
    <t>Возвратные суммы, тыс. руб.</t>
  </si>
  <si>
    <t>Возвратные суммы с НДС, тыс. руб.</t>
  </si>
  <si>
    <t>Ущерб водным биоресурсам</t>
  </si>
  <si>
    <t>Прил. №5</t>
  </si>
  <si>
    <t>тыс. руб.</t>
  </si>
  <si>
    <t>Постановление Правительства РФ от 21.06.2010г. №468</t>
  </si>
  <si>
    <t>Расчёт стоимости выполнения изыскательских работ (в том числе инженерно-геодезические, инженерно-геологические, гидрометеорологические и экологические изыскания)</t>
  </si>
  <si>
    <t>Договор субподряда</t>
  </si>
  <si>
    <t>Заказчик(Подрядчик):</t>
  </si>
  <si>
    <t>Исполнитель (Субподрядчик)</t>
  </si>
  <si>
    <t xml:space="preserve"> ООО "ИВЦ "Энергоактив""</t>
  </si>
  <si>
    <t>С.В. Лопашук</t>
  </si>
  <si>
    <t>Внешние инженерные сети теплоснабжения (Оплата труда)</t>
  </si>
  <si>
    <t>Внешние инженерные сети теплоснабжения (Материалы)</t>
  </si>
  <si>
    <t>Внешние инженерные сети теплоснабжения (Эксплуатация машин)</t>
  </si>
  <si>
    <t>Прочие  (По объектам непроизводственного назначения)</t>
  </si>
  <si>
    <t>Прил. №6</t>
  </si>
  <si>
    <t>Оборуд  (По объектам непроизводственного назначения)</t>
  </si>
  <si>
    <t>Прил. 4</t>
  </si>
  <si>
    <t>Методика утв. Приказом Минстрой РФ от 19.06.20г. №332/пр, Приложение 1, п.53</t>
  </si>
  <si>
    <t>Постановление Правительства РФ №145от 05.03.2007г.</t>
  </si>
  <si>
    <t>Н.В.Петров</t>
  </si>
  <si>
    <t>А.В.Исаев</t>
  </si>
  <si>
    <t>09-01-23-ООС</t>
  </si>
  <si>
    <t>Компенсационные выплаты за снос зеленых насаждений по ул.Пушкина от ТК-317 до ТК-320</t>
  </si>
  <si>
    <t>Расчёт платы за негативное воздействие на окружающую среду (выбросы загрязняющих веществ в атмосферу)</t>
  </si>
  <si>
    <t>Расчёт платы за негативное воздействие на окружающую среду (размещеие отходов)</t>
  </si>
  <si>
    <t>Расчет затрат на экологический мониторинг</t>
  </si>
  <si>
    <t xml:space="preserve">        Стоимость 1 км составила -  </t>
  </si>
  <si>
    <t>Общая протяженность</t>
  </si>
  <si>
    <t>км</t>
  </si>
  <si>
    <t>Временные здания и сооружения (Объекты непроизводственного значения:Сети газо-,тепло-, водоснабжения и водоотведения(очистные сооружения,насосные станции и т.п.) в черте города)</t>
  </si>
  <si>
    <t>В том числе ПИР</t>
  </si>
  <si>
    <t xml:space="preserve">Подготовительные работы </t>
  </si>
  <si>
    <t>Подготовительные работы</t>
  </si>
  <si>
    <t>Восстановление благоустройства</t>
  </si>
  <si>
    <t>Очистка территории строительства.</t>
  </si>
  <si>
    <t>Разборка существующего покрытия и тротуара</t>
  </si>
  <si>
    <t>Компенсационные выплаты за снос зеленых насаждений</t>
  </si>
  <si>
    <t>1 квартал 2023 г.</t>
  </si>
  <si>
    <t>Прил. 1</t>
  </si>
  <si>
    <t>Письмо Минстроя России 
от 30.03.2023г. №17106-ИФ/09</t>
  </si>
  <si>
    <t>Письмо Минстроя России 
от 23.02.2023г. № 9791-ИФ/09</t>
  </si>
  <si>
    <t>Письмо Минстроя России 
от 30.01.2023г. № 4125-ИФ/09</t>
  </si>
  <si>
    <t>Стоимость возвратных сумм на 1 квартал 2023г. определилась в размере</t>
  </si>
  <si>
    <t xml:space="preserve">Составлен в текущем уровне цен 1 кв.2023 г. </t>
  </si>
  <si>
    <t xml:space="preserve"> Смета №1-4</t>
  </si>
  <si>
    <t>Смета №5</t>
  </si>
  <si>
    <t>Смета №6</t>
  </si>
  <si>
    <t>"Утвержден" «    »________________2023 г.</t>
  </si>
  <si>
    <t>№15-12/22 от 15.12.2022</t>
  </si>
  <si>
    <t>ООО "Системы Энергосбережения"</t>
  </si>
  <si>
    <t>Д.В. Легенкин</t>
  </si>
  <si>
    <t>«Реконструкция распределительных и квартальных тепловых сетей г. Благовещенска Амурской области» Объект 8 (Тепловые сети по ул. Кантемирова от ТК-3М (смотровая) до ТК-5М L= 45,25 м D= 325 мм, L= 123,45 м D= 273 мм)</t>
  </si>
  <si>
    <t>15-12-22-4-ООС</t>
  </si>
  <si>
    <t>15-12-22-4-ООС  таб.3.1</t>
  </si>
  <si>
    <t>15-12-22-4-ООС таб.3.1</t>
  </si>
  <si>
    <t>Основные объекты строительства</t>
  </si>
  <si>
    <t>ЛС-02-01-02</t>
  </si>
  <si>
    <t>Тепловые сети</t>
  </si>
  <si>
    <t>Сети водоснабжения</t>
  </si>
  <si>
    <t>ОБЪЕКТНЫЙ СМЕТНЫЙ РАСЧЕТ № ОС-01-02</t>
  </si>
  <si>
    <t>ОС-02-01</t>
  </si>
  <si>
    <t>Тепловые сети .Сети водоснабжения</t>
  </si>
  <si>
    <t>ОБЪЕКТНЫЙ СМЕТНЫЙ РАСЧЕТ № ОС-02-01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</si>
</sst>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#,##0.0"/>
    <numFmt numFmtId="166" formatCode="0.0%"/>
    <numFmt numFmtId="167" formatCode="0.000"/>
    <numFmt numFmtId="168" formatCode="#,##0.000"/>
  </numFmts>
  <fonts count="50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indexed="81"/>
      <name val="Times New Roman"/>
      <family val="1"/>
      <charset val="204"/>
    </font>
    <font>
      <sz val="9"/>
      <color indexed="81"/>
      <name val="Tahoma"/>
      <family val="2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Журнал"/>
      <charset val="204"/>
    </font>
    <font>
      <sz val="10"/>
      <name val="Times New Roman Cyr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i/>
      <sz val="8"/>
      <name val="Times New Roman Cyr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i/>
      <sz val="9"/>
      <color rgb="FF0000FF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name val="Arial Cyr"/>
      <charset val="204"/>
    </font>
    <font>
      <sz val="10.5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b/>
      <sz val="10.5"/>
      <name val="Times New Roman Cyr"/>
      <family val="1"/>
      <charset val="204"/>
    </font>
    <font>
      <sz val="10.5"/>
      <name val="Times New Roman Cyr"/>
      <family val="1"/>
      <charset val="204"/>
    </font>
    <font>
      <sz val="10.5"/>
      <name val="Times New Roman"/>
      <family val="1"/>
      <charset val="204"/>
    </font>
    <font>
      <sz val="10.5"/>
      <name val="Times New Roman Cyr"/>
      <charset val="204"/>
    </font>
    <font>
      <sz val="11"/>
      <color theme="1"/>
      <name val="Cambria"/>
      <family val="1"/>
      <charset val="204"/>
    </font>
    <font>
      <sz val="11"/>
      <name val="Cambria"/>
      <family val="1"/>
      <charset val="204"/>
    </font>
    <font>
      <sz val="10"/>
      <color rgb="FFFF0000"/>
      <name val="Cambria"/>
      <family val="1"/>
      <charset val="204"/>
    </font>
    <font>
      <sz val="9"/>
      <color rgb="FF0000FF"/>
      <name val="Times New Roman"/>
      <family val="1"/>
      <charset val="204"/>
    </font>
    <font>
      <sz val="10"/>
      <color rgb="FFFF00FF"/>
      <name val="Times New Roman"/>
      <family val="1"/>
      <charset val="204"/>
    </font>
    <font>
      <i/>
      <u/>
      <sz val="10"/>
      <color rgb="FF7030A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.5"/>
      <name val="Times New Roman"/>
      <family val="1"/>
      <charset val="204"/>
    </font>
    <font>
      <sz val="11"/>
      <color rgb="FFFF0000"/>
      <name val="Cambria"/>
      <family val="1"/>
      <charset val="204"/>
    </font>
    <font>
      <sz val="10"/>
      <name val="Cambria"/>
      <family val="1"/>
      <charset val="204"/>
    </font>
    <font>
      <b/>
      <sz val="10"/>
      <name val="Cambria"/>
      <family val="1"/>
      <charset val="204"/>
    </font>
    <font>
      <sz val="10"/>
      <color rgb="FF0000FF"/>
      <name val="Cambria"/>
      <family val="1"/>
      <charset val="204"/>
    </font>
    <font>
      <sz val="10"/>
      <name val="Times New Roman Cyr"/>
      <charset val="204"/>
    </font>
    <font>
      <i/>
      <sz val="10"/>
      <color rgb="FF0000FF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color rgb="FF0000FF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Cambria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EAD5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34998626667073579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indexed="64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</borders>
  <cellStyleXfs count="5">
    <xf numFmtId="0" fontId="0" fillId="0" borderId="0"/>
    <xf numFmtId="0" fontId="9" fillId="0" borderId="0"/>
    <xf numFmtId="2" fontId="9" fillId="0" borderId="0"/>
    <xf numFmtId="0" fontId="9" fillId="0" borderId="0"/>
    <xf numFmtId="0" fontId="23" fillId="0" borderId="0"/>
  </cellStyleXfs>
  <cellXfs count="323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left" vertical="center"/>
    </xf>
    <xf numFmtId="0" fontId="1" fillId="0" borderId="0" xfId="0" applyFont="1" applyFill="1" applyAlignment="1">
      <alignment horizontal="right" vertical="center"/>
    </xf>
    <xf numFmtId="49" fontId="1" fillId="0" borderId="14" xfId="0" applyNumberFormat="1" applyFont="1" applyFill="1" applyBorder="1" applyAlignment="1">
      <alignment horizontal="center" vertical="center"/>
    </xf>
    <xf numFmtId="0" fontId="12" fillId="0" borderId="14" xfId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left" vertical="center" wrapText="1"/>
    </xf>
    <xf numFmtId="2" fontId="14" fillId="0" borderId="0" xfId="2" applyNumberFormat="1" applyFont="1" applyFill="1" applyAlignment="1">
      <alignment horizontal="left" vertical="center"/>
    </xf>
    <xf numFmtId="2" fontId="14" fillId="0" borderId="0" xfId="2" applyNumberFormat="1" applyFont="1" applyFill="1" applyAlignment="1">
      <alignment horizontal="center" vertical="center"/>
    </xf>
    <xf numFmtId="2" fontId="14" fillId="0" borderId="0" xfId="2" applyFont="1" applyFill="1" applyBorder="1" applyAlignment="1">
      <alignment vertical="center"/>
    </xf>
    <xf numFmtId="2" fontId="10" fillId="0" borderId="0" xfId="2" applyFont="1" applyFill="1" applyBorder="1" applyAlignment="1">
      <alignment vertical="center"/>
    </xf>
    <xf numFmtId="49" fontId="1" fillId="0" borderId="14" xfId="0" applyNumberFormat="1" applyFont="1" applyFill="1" applyBorder="1" applyAlignment="1">
      <alignment horizontal="left" vertical="center"/>
    </xf>
    <xf numFmtId="4" fontId="4" fillId="0" borderId="14" xfId="0" applyNumberFormat="1" applyFont="1" applyFill="1" applyBorder="1" applyAlignment="1">
      <alignment horizontal="right" vertical="center" wrapText="1"/>
    </xf>
    <xf numFmtId="4" fontId="1" fillId="0" borderId="14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left" vertical="center"/>
    </xf>
    <xf numFmtId="4" fontId="4" fillId="0" borderId="14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vertical="center"/>
    </xf>
    <xf numFmtId="4" fontId="17" fillId="0" borderId="14" xfId="0" applyNumberFormat="1" applyFont="1" applyBorder="1" applyAlignment="1">
      <alignment vertical="center"/>
    </xf>
    <xf numFmtId="4" fontId="17" fillId="0" borderId="14" xfId="0" applyNumberFormat="1" applyFont="1" applyBorder="1" applyAlignment="1">
      <alignment vertical="center" wrapText="1"/>
    </xf>
    <xf numFmtId="0" fontId="4" fillId="0" borderId="14" xfId="0" applyFont="1" applyFill="1" applyBorder="1" applyAlignment="1">
      <alignment horizontal="center" vertical="center"/>
    </xf>
    <xf numFmtId="49" fontId="4" fillId="0" borderId="14" xfId="0" applyNumberFormat="1" applyFont="1" applyFill="1" applyBorder="1" applyAlignment="1">
      <alignment horizontal="left" vertical="center"/>
    </xf>
    <xf numFmtId="4" fontId="18" fillId="0" borderId="14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10" fontId="2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14" xfId="0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4" fontId="1" fillId="0" borderId="14" xfId="0" applyNumberFormat="1" applyFont="1" applyFill="1" applyBorder="1" applyAlignment="1">
      <alignment horizontal="right" vertical="center" wrapText="1"/>
    </xf>
    <xf numFmtId="4" fontId="17" fillId="0" borderId="14" xfId="0" applyNumberFormat="1" applyFont="1" applyBorder="1" applyAlignment="1">
      <alignment horizontal="right" vertical="center"/>
    </xf>
    <xf numFmtId="0" fontId="17" fillId="0" borderId="0" xfId="0" applyFont="1" applyBorder="1" applyAlignment="1">
      <alignment horizontal="center" vertical="center"/>
    </xf>
    <xf numFmtId="0" fontId="11" fillId="0" borderId="0" xfId="0" applyFont="1" applyAlignment="1">
      <alignment vertical="top"/>
    </xf>
    <xf numFmtId="3" fontId="17" fillId="0" borderId="14" xfId="0" applyNumberFormat="1" applyFont="1" applyBorder="1" applyAlignment="1">
      <alignment horizontal="center" vertical="center"/>
    </xf>
    <xf numFmtId="4" fontId="1" fillId="0" borderId="14" xfId="0" applyNumberFormat="1" applyFont="1" applyFill="1" applyBorder="1" applyAlignment="1">
      <alignment horizontal="left" vertical="center" wrapText="1"/>
    </xf>
    <xf numFmtId="4" fontId="19" fillId="0" borderId="0" xfId="0" applyNumberFormat="1" applyFont="1" applyFill="1" applyBorder="1" applyAlignment="1">
      <alignment horizontal="center" vertical="center" wrapText="1"/>
    </xf>
    <xf numFmtId="1" fontId="1" fillId="0" borderId="14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Alignment="1">
      <alignment horizontal="left" vertical="center"/>
    </xf>
    <xf numFmtId="0" fontId="4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" fontId="21" fillId="0" borderId="14" xfId="0" applyNumberFormat="1" applyFont="1" applyFill="1" applyBorder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1" fillId="0" borderId="0" xfId="0" applyFont="1" applyFill="1" applyAlignment="1">
      <alignment horizontal="left" vertical="center"/>
    </xf>
    <xf numFmtId="1" fontId="1" fillId="0" borderId="14" xfId="0" applyNumberFormat="1" applyFont="1" applyFill="1" applyBorder="1" applyAlignment="1">
      <alignment horizontal="center" vertical="center"/>
    </xf>
    <xf numFmtId="2" fontId="22" fillId="0" borderId="0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4" fontId="4" fillId="0" borderId="0" xfId="0" applyNumberFormat="1" applyFont="1" applyFill="1" applyAlignment="1">
      <alignment horizontal="left" vertical="center"/>
    </xf>
    <xf numFmtId="10" fontId="2" fillId="0" borderId="18" xfId="0" applyNumberFormat="1" applyFont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4" fillId="0" borderId="0" xfId="1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0" fillId="0" borderId="0" xfId="0" applyFill="1"/>
    <xf numFmtId="2" fontId="1" fillId="0" borderId="0" xfId="0" applyNumberFormat="1" applyFont="1" applyFill="1" applyAlignment="1">
      <alignment horizontal="left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/>
    </xf>
    <xf numFmtId="0" fontId="25" fillId="0" borderId="0" xfId="0" applyFont="1" applyFill="1" applyAlignment="1"/>
    <xf numFmtId="4" fontId="25" fillId="0" borderId="0" xfId="0" applyNumberFormat="1" applyFont="1" applyFill="1" applyAlignment="1">
      <alignment horizontal="right"/>
    </xf>
    <xf numFmtId="0" fontId="25" fillId="0" borderId="0" xfId="0" applyFont="1" applyFill="1" applyAlignment="1">
      <alignment horizontal="left"/>
    </xf>
    <xf numFmtId="4" fontId="24" fillId="0" borderId="0" xfId="0" applyNumberFormat="1" applyFont="1" applyFill="1" applyAlignment="1">
      <alignment horizontal="right"/>
    </xf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Border="1" applyAlignment="1">
      <alignment vertical="center"/>
    </xf>
    <xf numFmtId="0" fontId="28" fillId="0" borderId="14" xfId="0" applyFont="1" applyFill="1" applyBorder="1" applyAlignment="1">
      <alignment horizontal="center" vertical="center" wrapText="1"/>
    </xf>
    <xf numFmtId="0" fontId="28" fillId="0" borderId="14" xfId="1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vertical="center" wrapText="1"/>
    </xf>
    <xf numFmtId="0" fontId="24" fillId="0" borderId="0" xfId="0" applyFont="1" applyAlignment="1">
      <alignment vertical="center"/>
    </xf>
    <xf numFmtId="0" fontId="24" fillId="0" borderId="14" xfId="0" applyFont="1" applyBorder="1" applyAlignment="1">
      <alignment horizontal="center" vertical="center"/>
    </xf>
    <xf numFmtId="0" fontId="24" fillId="0" borderId="14" xfId="0" applyFont="1" applyBorder="1" applyAlignment="1">
      <alignment vertical="center" wrapText="1"/>
    </xf>
    <xf numFmtId="0" fontId="27" fillId="0" borderId="14" xfId="1" applyFont="1" applyFill="1" applyBorder="1" applyAlignment="1">
      <alignment horizontal="center" vertical="center" wrapText="1"/>
    </xf>
    <xf numFmtId="2" fontId="26" fillId="0" borderId="14" xfId="1" applyNumberFormat="1" applyFont="1" applyFill="1" applyBorder="1" applyAlignment="1">
      <alignment horizontal="left" vertical="center" wrapText="1"/>
    </xf>
    <xf numFmtId="2" fontId="28" fillId="0" borderId="14" xfId="0" applyNumberFormat="1" applyFont="1" applyFill="1" applyBorder="1" applyAlignment="1">
      <alignment horizontal="center" vertical="center" wrapText="1"/>
    </xf>
    <xf numFmtId="2" fontId="29" fillId="0" borderId="14" xfId="1" applyNumberFormat="1" applyFont="1" applyFill="1" applyBorder="1" applyAlignment="1">
      <alignment horizontal="left" vertical="center" wrapText="1"/>
    </xf>
    <xf numFmtId="4" fontId="24" fillId="0" borderId="14" xfId="0" applyNumberFormat="1" applyFont="1" applyBorder="1" applyAlignment="1">
      <alignment horizontal="center" vertical="center"/>
    </xf>
    <xf numFmtId="4" fontId="25" fillId="0" borderId="14" xfId="0" applyNumberFormat="1" applyFont="1" applyBorder="1" applyAlignment="1">
      <alignment horizontal="center" vertical="center"/>
    </xf>
    <xf numFmtId="2" fontId="28" fillId="0" borderId="14" xfId="0" applyNumberFormat="1" applyFont="1" applyFill="1" applyBorder="1" applyAlignment="1">
      <alignment horizontal="left" vertical="center" wrapText="1"/>
    </xf>
    <xf numFmtId="49" fontId="28" fillId="0" borderId="14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26" fillId="0" borderId="14" xfId="1" applyFont="1" applyFill="1" applyBorder="1" applyAlignment="1">
      <alignment horizontal="left" vertical="center" wrapText="1"/>
    </xf>
    <xf numFmtId="0" fontId="26" fillId="0" borderId="14" xfId="1" applyFont="1" applyFill="1" applyBorder="1" applyAlignment="1">
      <alignment horizontal="center" vertical="center" wrapText="1"/>
    </xf>
    <xf numFmtId="4" fontId="24" fillId="0" borderId="14" xfId="0" applyNumberFormat="1" applyFont="1" applyFill="1" applyBorder="1" applyAlignment="1">
      <alignment horizontal="center" vertical="center"/>
    </xf>
    <xf numFmtId="4" fontId="24" fillId="0" borderId="14" xfId="0" applyNumberFormat="1" applyFont="1" applyFill="1" applyBorder="1" applyAlignment="1">
      <alignment horizontal="center" vertical="center" wrapText="1"/>
    </xf>
    <xf numFmtId="4" fontId="24" fillId="0" borderId="0" xfId="0" applyNumberFormat="1" applyFont="1" applyFill="1" applyAlignment="1">
      <alignment horizontal="left"/>
    </xf>
    <xf numFmtId="4" fontId="25" fillId="0" borderId="14" xfId="0" applyNumberFormat="1" applyFont="1" applyBorder="1" applyAlignment="1">
      <alignment horizontal="center" vertical="center" wrapText="1"/>
    </xf>
    <xf numFmtId="0" fontId="30" fillId="0" borderId="0" xfId="0" applyFont="1"/>
    <xf numFmtId="4" fontId="12" fillId="0" borderId="14" xfId="0" applyNumberFormat="1" applyFont="1" applyFill="1" applyBorder="1" applyAlignment="1">
      <alignment horizontal="left" vertical="center" wrapText="1"/>
    </xf>
    <xf numFmtId="4" fontId="12" fillId="0" borderId="14" xfId="0" applyNumberFormat="1" applyFont="1" applyFill="1" applyBorder="1" applyAlignment="1">
      <alignment horizontal="right" vertical="center" wrapText="1"/>
    </xf>
    <xf numFmtId="1" fontId="12" fillId="0" borderId="14" xfId="0" applyNumberFormat="1" applyFont="1" applyFill="1" applyBorder="1" applyAlignment="1">
      <alignment horizontal="center" vertical="center"/>
    </xf>
    <xf numFmtId="10" fontId="33" fillId="0" borderId="0" xfId="0" applyNumberFormat="1" applyFont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0" fontId="31" fillId="0" borderId="0" xfId="0" applyFont="1" applyAlignment="1">
      <alignment vertical="center" wrapText="1"/>
    </xf>
    <xf numFmtId="4" fontId="31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31" fillId="0" borderId="0" xfId="0" applyFont="1" applyAlignment="1">
      <alignment horizontal="right" vertical="center" wrapText="1"/>
    </xf>
    <xf numFmtId="4" fontId="31" fillId="0" borderId="0" xfId="0" applyNumberFormat="1" applyFont="1" applyAlignment="1">
      <alignment vertical="center" wrapText="1"/>
    </xf>
    <xf numFmtId="4" fontId="1" fillId="0" borderId="15" xfId="0" applyNumberFormat="1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 wrapText="1"/>
    </xf>
    <xf numFmtId="10" fontId="2" fillId="0" borderId="18" xfId="0" applyNumberFormat="1" applyFont="1" applyBorder="1" applyAlignment="1">
      <alignment horizontal="center" vertical="center"/>
    </xf>
    <xf numFmtId="4" fontId="17" fillId="0" borderId="14" xfId="0" applyNumberFormat="1" applyFont="1" applyBorder="1" applyAlignment="1">
      <alignment horizontal="left" vertical="center" wrapText="1"/>
    </xf>
    <xf numFmtId="2" fontId="12" fillId="0" borderId="14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top"/>
    </xf>
    <xf numFmtId="0" fontId="17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17" fillId="0" borderId="0" xfId="0" applyFont="1" applyFill="1" applyAlignment="1"/>
    <xf numFmtId="0" fontId="17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0" fontId="25" fillId="0" borderId="14" xfId="0" applyFont="1" applyFill="1" applyBorder="1" applyAlignment="1">
      <alignment horizontal="center" vertical="center"/>
    </xf>
    <xf numFmtId="0" fontId="25" fillId="0" borderId="14" xfId="0" applyFont="1" applyFill="1" applyBorder="1" applyAlignment="1">
      <alignment vertical="center" wrapText="1"/>
    </xf>
    <xf numFmtId="4" fontId="25" fillId="0" borderId="14" xfId="0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vertical="center"/>
    </xf>
    <xf numFmtId="2" fontId="12" fillId="0" borderId="14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8" fillId="0" borderId="14" xfId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3" fontId="1" fillId="0" borderId="14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/>
    </xf>
    <xf numFmtId="2" fontId="24" fillId="0" borderId="14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8" fillId="0" borderId="14" xfId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32" fillId="2" borderId="1" xfId="0" applyFont="1" applyFill="1" applyBorder="1" applyAlignment="1">
      <alignment vertical="center"/>
    </xf>
    <xf numFmtId="0" fontId="32" fillId="2" borderId="0" xfId="0" applyFont="1" applyFill="1" applyAlignment="1">
      <alignment vertical="center"/>
    </xf>
    <xf numFmtId="0" fontId="38" fillId="2" borderId="0" xfId="0" applyFont="1" applyFill="1"/>
    <xf numFmtId="0" fontId="32" fillId="2" borderId="6" xfId="0" applyFont="1" applyFill="1" applyBorder="1" applyAlignment="1">
      <alignment horizontal="left" vertical="center"/>
    </xf>
    <xf numFmtId="0" fontId="32" fillId="2" borderId="5" xfId="0" applyFont="1" applyFill="1" applyBorder="1" applyAlignment="1">
      <alignment horizontal="left" vertical="center"/>
    </xf>
    <xf numFmtId="0" fontId="32" fillId="2" borderId="5" xfId="0" applyFont="1" applyFill="1" applyBorder="1" applyAlignment="1">
      <alignment vertical="center"/>
    </xf>
    <xf numFmtId="0" fontId="32" fillId="0" borderId="0" xfId="0" applyFont="1" applyFill="1" applyAlignment="1">
      <alignment vertical="center"/>
    </xf>
    <xf numFmtId="0" fontId="38" fillId="0" borderId="0" xfId="0" applyFont="1"/>
    <xf numFmtId="0" fontId="32" fillId="0" borderId="0" xfId="0" applyFont="1" applyFill="1" applyBorder="1" applyAlignment="1">
      <alignment vertical="center"/>
    </xf>
    <xf numFmtId="0" fontId="32" fillId="0" borderId="0" xfId="0" applyFont="1"/>
    <xf numFmtId="0" fontId="39" fillId="2" borderId="1" xfId="0" applyFont="1" applyFill="1" applyBorder="1" applyAlignment="1">
      <alignment vertical="center"/>
    </xf>
    <xf numFmtId="0" fontId="39" fillId="2" borderId="0" xfId="0" applyFont="1" applyFill="1" applyAlignment="1">
      <alignment vertical="center"/>
    </xf>
    <xf numFmtId="0" fontId="31" fillId="2" borderId="0" xfId="0" applyFont="1" applyFill="1"/>
    <xf numFmtId="0" fontId="39" fillId="2" borderId="5" xfId="0" applyFont="1" applyFill="1" applyBorder="1" applyAlignment="1">
      <alignment horizontal="left" vertical="center"/>
    </xf>
    <xf numFmtId="0" fontId="39" fillId="2" borderId="0" xfId="0" applyFont="1" applyFill="1" applyBorder="1" applyAlignment="1">
      <alignment horizontal="left" vertical="center" wrapText="1"/>
    </xf>
    <xf numFmtId="0" fontId="39" fillId="2" borderId="0" xfId="0" applyFont="1" applyFill="1" applyBorder="1" applyAlignment="1">
      <alignment horizontal="left" vertical="center"/>
    </xf>
    <xf numFmtId="0" fontId="39" fillId="2" borderId="6" xfId="0" applyFont="1" applyFill="1" applyBorder="1" applyAlignment="1">
      <alignment horizontal="left" vertical="center"/>
    </xf>
    <xf numFmtId="0" fontId="39" fillId="2" borderId="2" xfId="0" applyFont="1" applyFill="1" applyBorder="1" applyAlignment="1">
      <alignment vertical="center"/>
    </xf>
    <xf numFmtId="0" fontId="39" fillId="2" borderId="1" xfId="0" applyFont="1" applyFill="1" applyBorder="1" applyAlignment="1">
      <alignment horizontal="left" vertical="center"/>
    </xf>
    <xf numFmtId="0" fontId="39" fillId="0" borderId="0" xfId="0" applyFont="1" applyFill="1" applyBorder="1" applyAlignment="1">
      <alignment vertical="center"/>
    </xf>
    <xf numFmtId="0" fontId="31" fillId="0" borderId="0" xfId="0" applyFont="1"/>
    <xf numFmtId="164" fontId="39" fillId="0" borderId="0" xfId="0" applyNumberFormat="1" applyFont="1" applyFill="1" applyBorder="1" applyAlignment="1">
      <alignment horizontal="center" vertical="center"/>
    </xf>
    <xf numFmtId="2" fontId="39" fillId="0" borderId="0" xfId="0" applyNumberFormat="1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center" vertical="center"/>
    </xf>
    <xf numFmtId="0" fontId="39" fillId="2" borderId="14" xfId="0" applyFont="1" applyFill="1" applyBorder="1" applyAlignment="1">
      <alignment vertical="center" wrapText="1"/>
    </xf>
    <xf numFmtId="0" fontId="39" fillId="0" borderId="0" xfId="0" applyFont="1" applyFill="1" applyAlignment="1">
      <alignment vertical="center"/>
    </xf>
    <xf numFmtId="10" fontId="2" fillId="0" borderId="0" xfId="0" applyNumberFormat="1" applyFont="1" applyFill="1" applyAlignment="1">
      <alignment horizontal="center" vertical="center"/>
    </xf>
    <xf numFmtId="0" fontId="39" fillId="2" borderId="14" xfId="0" applyFont="1" applyFill="1" applyBorder="1" applyAlignment="1">
      <alignment vertical="center"/>
    </xf>
    <xf numFmtId="3" fontId="10" fillId="0" borderId="14" xfId="1" applyNumberFormat="1" applyFont="1" applyFill="1" applyBorder="1" applyAlignment="1">
      <alignment horizontal="center" vertical="center" wrapText="1"/>
    </xf>
    <xf numFmtId="4" fontId="17" fillId="0" borderId="14" xfId="0" applyNumberFormat="1" applyFont="1" applyFill="1" applyBorder="1" applyAlignment="1">
      <alignment horizontal="right" vertical="center"/>
    </xf>
    <xf numFmtId="4" fontId="17" fillId="0" borderId="14" xfId="0" applyNumberFormat="1" applyFont="1" applyFill="1" applyBorder="1" applyAlignment="1">
      <alignment vertical="center" wrapText="1"/>
    </xf>
    <xf numFmtId="4" fontId="17" fillId="0" borderId="14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164" fontId="39" fillId="0" borderId="0" xfId="0" applyNumberFormat="1" applyFont="1" applyFill="1" applyBorder="1" applyAlignment="1">
      <alignment vertical="center"/>
    </xf>
    <xf numFmtId="4" fontId="17" fillId="3" borderId="14" xfId="0" applyNumberFormat="1" applyFont="1" applyFill="1" applyBorder="1" applyAlignment="1">
      <alignment vertical="center" wrapText="1"/>
    </xf>
    <xf numFmtId="4" fontId="17" fillId="3" borderId="14" xfId="0" applyNumberFormat="1" applyFont="1" applyFill="1" applyBorder="1" applyAlignment="1">
      <alignment vertical="center"/>
    </xf>
    <xf numFmtId="4" fontId="1" fillId="3" borderId="14" xfId="0" applyNumberFormat="1" applyFont="1" applyFill="1" applyBorder="1" applyAlignment="1">
      <alignment vertical="center"/>
    </xf>
    <xf numFmtId="1" fontId="17" fillId="0" borderId="14" xfId="0" applyNumberFormat="1" applyFont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/>
    </xf>
    <xf numFmtId="0" fontId="41" fillId="2" borderId="1" xfId="0" applyFont="1" applyFill="1" applyBorder="1" applyAlignment="1">
      <alignment horizontal="left" vertical="center"/>
    </xf>
    <xf numFmtId="2" fontId="41" fillId="2" borderId="1" xfId="0" applyNumberFormat="1" applyFont="1" applyFill="1" applyBorder="1" applyAlignment="1">
      <alignment horizontal="left" vertical="center"/>
    </xf>
    <xf numFmtId="2" fontId="1" fillId="0" borderId="14" xfId="0" applyNumberFormat="1" applyFont="1" applyFill="1" applyBorder="1" applyAlignment="1">
      <alignment horizontal="left" vertical="center" wrapText="1"/>
    </xf>
    <xf numFmtId="2" fontId="42" fillId="0" borderId="14" xfId="1" applyNumberFormat="1" applyFont="1" applyFill="1" applyBorder="1" applyAlignment="1">
      <alignment horizontal="left" vertical="center" wrapText="1"/>
    </xf>
    <xf numFmtId="0" fontId="43" fillId="0" borderId="0" xfId="0" applyFont="1" applyAlignment="1">
      <alignment horizontal="center" vertical="center"/>
    </xf>
    <xf numFmtId="0" fontId="44" fillId="0" borderId="0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4" fontId="11" fillId="0" borderId="0" xfId="0" applyNumberFormat="1" applyFont="1" applyAlignment="1">
      <alignment vertical="center"/>
    </xf>
    <xf numFmtId="0" fontId="39" fillId="2" borderId="2" xfId="0" applyFont="1" applyFill="1" applyBorder="1" applyAlignment="1">
      <alignment horizontal="left" vertical="center" wrapText="1"/>
    </xf>
    <xf numFmtId="0" fontId="39" fillId="2" borderId="3" xfId="0" applyFont="1" applyFill="1" applyBorder="1" applyAlignment="1">
      <alignment horizontal="left" vertical="center" wrapText="1"/>
    </xf>
    <xf numFmtId="0" fontId="39" fillId="2" borderId="6" xfId="0" applyFont="1" applyFill="1" applyBorder="1" applyAlignment="1">
      <alignment horizontal="left" vertical="center"/>
    </xf>
    <xf numFmtId="0" fontId="39" fillId="2" borderId="4" xfId="0" applyFont="1" applyFill="1" applyBorder="1" applyAlignment="1">
      <alignment horizontal="left" vertical="center" wrapText="1"/>
    </xf>
    <xf numFmtId="0" fontId="41" fillId="2" borderId="1" xfId="0" applyFont="1" applyFill="1" applyBorder="1" applyAlignment="1">
      <alignment horizontal="left" vertical="center" wrapText="1"/>
    </xf>
    <xf numFmtId="0" fontId="41" fillId="2" borderId="1" xfId="0" applyFont="1" applyFill="1" applyBorder="1" applyAlignment="1">
      <alignment vertical="center"/>
    </xf>
    <xf numFmtId="4" fontId="17" fillId="4" borderId="14" xfId="0" applyNumberFormat="1" applyFont="1" applyFill="1" applyBorder="1" applyAlignment="1">
      <alignment vertical="center" wrapText="1"/>
    </xf>
    <xf numFmtId="4" fontId="17" fillId="4" borderId="14" xfId="0" applyNumberFormat="1" applyFont="1" applyFill="1" applyBorder="1" applyAlignment="1">
      <alignment vertical="center"/>
    </xf>
    <xf numFmtId="4" fontId="1" fillId="4" borderId="14" xfId="0" applyNumberFormat="1" applyFont="1" applyFill="1" applyBorder="1" applyAlignment="1">
      <alignment horizontal="right" vertical="center" wrapText="1"/>
    </xf>
    <xf numFmtId="0" fontId="1" fillId="4" borderId="14" xfId="0" applyFont="1" applyFill="1" applyBorder="1" applyAlignment="1">
      <alignment horizontal="center" vertical="center" wrapText="1"/>
    </xf>
    <xf numFmtId="4" fontId="34" fillId="4" borderId="14" xfId="0" applyNumberFormat="1" applyFont="1" applyFill="1" applyBorder="1" applyAlignment="1">
      <alignment vertical="center"/>
    </xf>
    <xf numFmtId="0" fontId="39" fillId="2" borderId="1" xfId="0" applyFont="1" applyFill="1" applyBorder="1" applyAlignment="1">
      <alignment horizontal="left" vertical="center" wrapText="1"/>
    </xf>
    <xf numFmtId="0" fontId="45" fillId="0" borderId="0" xfId="0" applyFont="1" applyAlignment="1">
      <alignment vertical="center"/>
    </xf>
    <xf numFmtId="0" fontId="45" fillId="0" borderId="14" xfId="0" applyFont="1" applyBorder="1" applyAlignment="1">
      <alignment vertical="center"/>
    </xf>
    <xf numFmtId="0" fontId="18" fillId="0" borderId="14" xfId="0" applyFont="1" applyFill="1" applyBorder="1" applyAlignment="1">
      <alignment horizontal="left" vertical="center" wrapText="1"/>
    </xf>
    <xf numFmtId="4" fontId="45" fillId="0" borderId="14" xfId="0" applyNumberFormat="1" applyFont="1" applyBorder="1" applyAlignment="1">
      <alignment vertical="center"/>
    </xf>
    <xf numFmtId="0" fontId="45" fillId="0" borderId="0" xfId="0" applyFont="1" applyBorder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18" fillId="0" borderId="14" xfId="0" applyFont="1" applyFill="1" applyBorder="1" applyAlignment="1">
      <alignment horizontal="center" vertical="center"/>
    </xf>
    <xf numFmtId="49" fontId="18" fillId="0" borderId="14" xfId="0" applyNumberFormat="1" applyFont="1" applyFill="1" applyBorder="1" applyAlignment="1">
      <alignment horizontal="left" vertical="center"/>
    </xf>
    <xf numFmtId="4" fontId="18" fillId="0" borderId="14" xfId="0" applyNumberFormat="1" applyFont="1" applyFill="1" applyBorder="1" applyAlignment="1">
      <alignment horizontal="right" vertical="center"/>
    </xf>
    <xf numFmtId="4" fontId="1" fillId="3" borderId="14" xfId="0" applyNumberFormat="1" applyFont="1" applyFill="1" applyBorder="1" applyAlignment="1">
      <alignment horizontal="right" vertical="center" wrapText="1"/>
    </xf>
    <xf numFmtId="1" fontId="12" fillId="3" borderId="14" xfId="0" applyNumberFormat="1" applyFont="1" applyFill="1" applyBorder="1" applyAlignment="1">
      <alignment horizontal="center" vertical="center"/>
    </xf>
    <xf numFmtId="2" fontId="12" fillId="3" borderId="16" xfId="0" applyNumberFormat="1" applyFont="1" applyFill="1" applyBorder="1" applyAlignment="1">
      <alignment horizontal="left" vertical="center" wrapText="1"/>
    </xf>
    <xf numFmtId="4" fontId="21" fillId="3" borderId="14" xfId="0" applyNumberFormat="1" applyFont="1" applyFill="1" applyBorder="1" applyAlignment="1">
      <alignment horizontal="right" vertical="center" wrapText="1"/>
    </xf>
    <xf numFmtId="4" fontId="12" fillId="3" borderId="14" xfId="0" applyNumberFormat="1" applyFont="1" applyFill="1" applyBorder="1" applyAlignment="1">
      <alignment horizontal="right" vertical="center" wrapText="1"/>
    </xf>
    <xf numFmtId="1" fontId="1" fillId="3" borderId="14" xfId="0" applyNumberFormat="1" applyFont="1" applyFill="1" applyBorder="1" applyAlignment="1">
      <alignment horizontal="center" vertical="center"/>
    </xf>
    <xf numFmtId="2" fontId="1" fillId="3" borderId="14" xfId="0" applyNumberFormat="1" applyFont="1" applyFill="1" applyBorder="1" applyAlignment="1">
      <alignment horizontal="left" vertical="center" wrapText="1"/>
    </xf>
    <xf numFmtId="4" fontId="1" fillId="3" borderId="14" xfId="0" applyNumberFormat="1" applyFont="1" applyFill="1" applyBorder="1" applyAlignment="1">
      <alignment horizontal="left" vertical="center" wrapText="1"/>
    </xf>
    <xf numFmtId="4" fontId="18" fillId="3" borderId="14" xfId="0" applyNumberFormat="1" applyFont="1" applyFill="1" applyBorder="1" applyAlignment="1">
      <alignment horizontal="right" vertical="center" wrapText="1"/>
    </xf>
    <xf numFmtId="4" fontId="17" fillId="3" borderId="14" xfId="0" applyNumberFormat="1" applyFont="1" applyFill="1" applyBorder="1" applyAlignment="1">
      <alignment horizontal="right" vertical="center"/>
    </xf>
    <xf numFmtId="4" fontId="1" fillId="0" borderId="0" xfId="0" applyNumberFormat="1" applyFont="1" applyFill="1" applyAlignment="1">
      <alignment vertical="center"/>
    </xf>
    <xf numFmtId="4" fontId="17" fillId="0" borderId="0" xfId="0" applyNumberFormat="1" applyFont="1" applyAlignment="1">
      <alignment vertical="center"/>
    </xf>
    <xf numFmtId="2" fontId="17" fillId="0" borderId="0" xfId="0" applyNumberFormat="1" applyFont="1" applyAlignment="1">
      <alignment vertical="center"/>
    </xf>
    <xf numFmtId="2" fontId="17" fillId="0" borderId="0" xfId="0" applyNumberFormat="1" applyFont="1" applyFill="1" applyAlignment="1">
      <alignment vertical="center"/>
    </xf>
    <xf numFmtId="0" fontId="41" fillId="2" borderId="6" xfId="0" applyFont="1" applyFill="1" applyBorder="1" applyAlignment="1">
      <alignment horizontal="left" vertical="center" wrapText="1"/>
    </xf>
    <xf numFmtId="4" fontId="32" fillId="0" borderId="0" xfId="0" applyNumberFormat="1" applyFont="1" applyFill="1" applyAlignment="1">
      <alignment vertical="center"/>
    </xf>
    <xf numFmtId="4" fontId="39" fillId="2" borderId="14" xfId="0" applyNumberFormat="1" applyFont="1" applyFill="1" applyBorder="1" applyAlignment="1">
      <alignment vertical="center" wrapText="1"/>
    </xf>
    <xf numFmtId="4" fontId="39" fillId="2" borderId="14" xfId="0" applyNumberFormat="1" applyFont="1" applyFill="1" applyBorder="1" applyAlignment="1">
      <alignment vertical="center"/>
    </xf>
    <xf numFmtId="0" fontId="1" fillId="0" borderId="1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left" vertical="center" wrapText="1"/>
    </xf>
    <xf numFmtId="4" fontId="34" fillId="3" borderId="14" xfId="0" applyNumberFormat="1" applyFont="1" applyFill="1" applyBorder="1" applyAlignment="1">
      <alignment vertical="center"/>
    </xf>
    <xf numFmtId="2" fontId="1" fillId="0" borderId="14" xfId="0" applyNumberFormat="1" applyFont="1" applyFill="1" applyBorder="1" applyAlignment="1">
      <alignment horizontal="right" vertical="center" wrapText="1"/>
    </xf>
    <xf numFmtId="4" fontId="34" fillId="0" borderId="14" xfId="0" applyNumberFormat="1" applyFont="1" applyFill="1" applyBorder="1" applyAlignment="1">
      <alignment vertical="center"/>
    </xf>
    <xf numFmtId="3" fontId="1" fillId="3" borderId="14" xfId="0" applyNumberFormat="1" applyFont="1" applyFill="1" applyBorder="1" applyAlignment="1">
      <alignment horizontal="center" vertical="center" wrapText="1"/>
    </xf>
    <xf numFmtId="0" fontId="39" fillId="2" borderId="14" xfId="0" applyFont="1" applyFill="1" applyBorder="1" applyAlignment="1">
      <alignment horizontal="right" vertical="center"/>
    </xf>
    <xf numFmtId="0" fontId="48" fillId="2" borderId="14" xfId="0" applyFont="1" applyFill="1" applyBorder="1" applyAlignment="1">
      <alignment vertical="center" wrapText="1"/>
    </xf>
    <xf numFmtId="0" fontId="48" fillId="2" borderId="14" xfId="0" applyFont="1" applyFill="1" applyBorder="1" applyAlignment="1">
      <alignment horizontal="right" vertical="center"/>
    </xf>
    <xf numFmtId="168" fontId="24" fillId="0" borderId="0" xfId="0" applyNumberFormat="1" applyFont="1" applyFill="1" applyAlignment="1">
      <alignment horizontal="right"/>
    </xf>
    <xf numFmtId="2" fontId="38" fillId="2" borderId="0" xfId="0" applyNumberFormat="1" applyFont="1" applyFill="1"/>
    <xf numFmtId="0" fontId="1" fillId="0" borderId="12" xfId="0" applyFont="1" applyFill="1" applyBorder="1" applyAlignment="1">
      <alignment horizontal="right" vertical="center"/>
    </xf>
    <xf numFmtId="4" fontId="39" fillId="5" borderId="9" xfId="0" applyNumberFormat="1" applyFont="1" applyFill="1" applyBorder="1" applyAlignment="1">
      <alignment horizontal="right" vertical="center"/>
    </xf>
    <xf numFmtId="0" fontId="40" fillId="5" borderId="8" xfId="0" applyFont="1" applyFill="1" applyBorder="1" applyAlignment="1">
      <alignment horizontal="center" vertical="center"/>
    </xf>
    <xf numFmtId="0" fontId="39" fillId="5" borderId="8" xfId="0" applyFont="1" applyFill="1" applyBorder="1" applyAlignment="1">
      <alignment horizontal="center" vertical="center"/>
    </xf>
    <xf numFmtId="0" fontId="39" fillId="5" borderId="11" xfId="0" applyFont="1" applyFill="1" applyBorder="1" applyAlignment="1">
      <alignment vertical="center"/>
    </xf>
    <xf numFmtId="4" fontId="32" fillId="5" borderId="9" xfId="0" applyNumberFormat="1" applyFont="1" applyFill="1" applyBorder="1" applyAlignment="1">
      <alignment horizontal="right" vertical="center"/>
    </xf>
    <xf numFmtId="4" fontId="39" fillId="5" borderId="10" xfId="0" applyNumberFormat="1" applyFont="1" applyFill="1" applyBorder="1" applyAlignment="1">
      <alignment horizontal="right" vertical="center"/>
    </xf>
    <xf numFmtId="0" fontId="39" fillId="5" borderId="11" xfId="0" applyFont="1" applyFill="1" applyBorder="1" applyAlignment="1">
      <alignment vertical="center" wrapText="1"/>
    </xf>
    <xf numFmtId="165" fontId="39" fillId="5" borderId="9" xfId="0" applyNumberFormat="1" applyFont="1" applyFill="1" applyBorder="1" applyAlignment="1">
      <alignment horizontal="right" vertical="center"/>
    </xf>
    <xf numFmtId="0" fontId="39" fillId="5" borderId="23" xfId="0" applyFont="1" applyFill="1" applyBorder="1" applyAlignment="1">
      <alignment vertical="center" wrapText="1"/>
    </xf>
    <xf numFmtId="4" fontId="39" fillId="5" borderId="25" xfId="0" applyNumberFormat="1" applyFont="1" applyFill="1" applyBorder="1" applyAlignment="1">
      <alignment horizontal="right" vertical="center"/>
    </xf>
    <xf numFmtId="0" fontId="11" fillId="0" borderId="14" xfId="0" applyFont="1" applyBorder="1" applyAlignment="1">
      <alignment vertical="center"/>
    </xf>
    <xf numFmtId="0" fontId="49" fillId="0" borderId="14" xfId="0" applyFont="1" applyBorder="1" applyAlignment="1">
      <alignment vertical="center"/>
    </xf>
    <xf numFmtId="4" fontId="44" fillId="0" borderId="14" xfId="0" applyNumberFormat="1" applyFont="1" applyBorder="1" applyAlignment="1">
      <alignment vertical="center"/>
    </xf>
    <xf numFmtId="0" fontId="44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44" fillId="0" borderId="0" xfId="0" applyFont="1" applyBorder="1" applyAlignment="1">
      <alignment vertical="center"/>
    </xf>
    <xf numFmtId="0" fontId="49" fillId="0" borderId="0" xfId="0" applyFont="1" applyBorder="1" applyAlignment="1">
      <alignment vertical="center"/>
    </xf>
    <xf numFmtId="4" fontId="44" fillId="0" borderId="0" xfId="0" applyNumberFormat="1" applyFont="1" applyBorder="1" applyAlignment="1">
      <alignment vertical="center"/>
    </xf>
    <xf numFmtId="167" fontId="38" fillId="2" borderId="0" xfId="0" applyNumberFormat="1" applyFont="1" applyFill="1"/>
    <xf numFmtId="4" fontId="38" fillId="0" borderId="0" xfId="0" applyNumberFormat="1" applyFont="1"/>
    <xf numFmtId="0" fontId="28" fillId="0" borderId="14" xfId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24" fillId="0" borderId="0" xfId="0" applyFont="1" applyFill="1" applyAlignment="1">
      <alignment horizontal="left"/>
    </xf>
    <xf numFmtId="2" fontId="39" fillId="5" borderId="17" xfId="0" applyNumberFormat="1" applyFont="1" applyFill="1" applyBorder="1" applyAlignment="1">
      <alignment horizontal="left" vertical="center" wrapText="1"/>
    </xf>
    <xf numFmtId="0" fontId="47" fillId="5" borderId="9" xfId="0" applyFont="1" applyFill="1" applyBorder="1" applyAlignment="1">
      <alignment horizontal="left" vertical="center" wrapText="1"/>
    </xf>
    <xf numFmtId="2" fontId="39" fillId="5" borderId="26" xfId="0" applyNumberFormat="1" applyFont="1" applyFill="1" applyBorder="1" applyAlignment="1">
      <alignment horizontal="left" vertical="center" wrapText="1"/>
    </xf>
    <xf numFmtId="0" fontId="47" fillId="5" borderId="27" xfId="0" applyFont="1" applyFill="1" applyBorder="1" applyAlignment="1">
      <alignment horizontal="left" vertical="center" wrapText="1"/>
    </xf>
    <xf numFmtId="0" fontId="30" fillId="0" borderId="14" xfId="0" applyFont="1" applyBorder="1" applyAlignment="1">
      <alignment horizontal="right"/>
    </xf>
    <xf numFmtId="0" fontId="39" fillId="2" borderId="14" xfId="0" applyFont="1" applyFill="1" applyBorder="1" applyAlignment="1">
      <alignment horizontal="left" vertical="center"/>
    </xf>
    <xf numFmtId="0" fontId="48" fillId="2" borderId="14" xfId="0" applyFont="1" applyFill="1" applyBorder="1" applyAlignment="1">
      <alignment horizontal="left" vertical="center"/>
    </xf>
    <xf numFmtId="2" fontId="39" fillId="5" borderId="9" xfId="0" applyNumberFormat="1" applyFont="1" applyFill="1" applyBorder="1" applyAlignment="1">
      <alignment horizontal="left" vertical="center" wrapText="1"/>
    </xf>
    <xf numFmtId="4" fontId="39" fillId="2" borderId="14" xfId="0" applyNumberFormat="1" applyFont="1" applyFill="1" applyBorder="1" applyAlignment="1">
      <alignment horizontal="left" vertical="center" wrapText="1"/>
    </xf>
    <xf numFmtId="2" fontId="39" fillId="5" borderId="24" xfId="0" applyNumberFormat="1" applyFont="1" applyFill="1" applyBorder="1" applyAlignment="1">
      <alignment horizontal="left" vertical="center" wrapText="1"/>
    </xf>
    <xf numFmtId="2" fontId="39" fillId="5" borderId="25" xfId="0" applyNumberFormat="1" applyFont="1" applyFill="1" applyBorder="1" applyAlignment="1">
      <alignment horizontal="left" vertical="center" wrapText="1"/>
    </xf>
    <xf numFmtId="4" fontId="39" fillId="2" borderId="19" xfId="0" applyNumberFormat="1" applyFont="1" applyFill="1" applyBorder="1" applyAlignment="1">
      <alignment horizontal="left" vertical="center" wrapText="1"/>
    </xf>
    <xf numFmtId="4" fontId="39" fillId="2" borderId="21" xfId="0" applyNumberFormat="1" applyFont="1" applyFill="1" applyBorder="1" applyAlignment="1">
      <alignment horizontal="left" vertical="center" wrapText="1"/>
    </xf>
    <xf numFmtId="0" fontId="39" fillId="2" borderId="2" xfId="0" applyFont="1" applyFill="1" applyBorder="1" applyAlignment="1">
      <alignment horizontal="left" vertical="center"/>
    </xf>
    <xf numFmtId="0" fontId="39" fillId="2" borderId="3" xfId="0" applyFont="1" applyFill="1" applyBorder="1" applyAlignment="1">
      <alignment horizontal="left" vertical="center"/>
    </xf>
    <xf numFmtId="0" fontId="39" fillId="2" borderId="4" xfId="0" applyFont="1" applyFill="1" applyBorder="1" applyAlignment="1">
      <alignment horizontal="left" vertical="center"/>
    </xf>
    <xf numFmtId="0" fontId="39" fillId="2" borderId="2" xfId="0" applyFont="1" applyFill="1" applyBorder="1" applyAlignment="1">
      <alignment horizontal="left" vertical="center" wrapText="1"/>
    </xf>
    <xf numFmtId="0" fontId="39" fillId="2" borderId="3" xfId="0" applyFont="1" applyFill="1" applyBorder="1" applyAlignment="1">
      <alignment horizontal="left" vertical="center" wrapText="1"/>
    </xf>
    <xf numFmtId="0" fontId="39" fillId="2" borderId="5" xfId="0" applyFont="1" applyFill="1" applyBorder="1" applyAlignment="1">
      <alignment horizontal="left" vertical="center"/>
    </xf>
    <xf numFmtId="0" fontId="39" fillId="2" borderId="6" xfId="0" applyFont="1" applyFill="1" applyBorder="1" applyAlignment="1">
      <alignment horizontal="left" vertical="center"/>
    </xf>
    <xf numFmtId="0" fontId="39" fillId="2" borderId="4" xfId="0" applyFont="1" applyFill="1" applyBorder="1" applyAlignment="1">
      <alignment horizontal="left" vertical="center" wrapText="1"/>
    </xf>
    <xf numFmtId="0" fontId="39" fillId="2" borderId="5" xfId="0" applyFont="1" applyFill="1" applyBorder="1" applyAlignment="1">
      <alignment horizontal="center" vertical="center"/>
    </xf>
    <xf numFmtId="0" fontId="39" fillId="2" borderId="6" xfId="0" applyFont="1" applyFill="1" applyBorder="1" applyAlignment="1">
      <alignment horizontal="center" vertical="center"/>
    </xf>
    <xf numFmtId="0" fontId="39" fillId="2" borderId="5" xfId="0" applyFont="1" applyFill="1" applyBorder="1" applyAlignment="1">
      <alignment horizontal="center" vertical="center" wrapText="1"/>
    </xf>
    <xf numFmtId="0" fontId="39" fillId="2" borderId="22" xfId="0" applyFont="1" applyFill="1" applyBorder="1" applyAlignment="1">
      <alignment horizontal="center" vertical="center" wrapText="1"/>
    </xf>
    <xf numFmtId="0" fontId="39" fillId="2" borderId="6" xfId="0" applyFont="1" applyFill="1" applyBorder="1" applyAlignment="1">
      <alignment horizontal="center" vertical="center" wrapText="1"/>
    </xf>
    <xf numFmtId="0" fontId="39" fillId="2" borderId="22" xfId="0" applyFont="1" applyFill="1" applyBorder="1" applyAlignment="1">
      <alignment horizontal="center" vertical="center"/>
    </xf>
    <xf numFmtId="0" fontId="32" fillId="2" borderId="3" xfId="0" applyFont="1" applyFill="1" applyBorder="1" applyAlignment="1">
      <alignment horizontal="center" vertical="center"/>
    </xf>
    <xf numFmtId="0" fontId="32" fillId="2" borderId="4" xfId="0" applyFont="1" applyFill="1" applyBorder="1" applyAlignment="1">
      <alignment horizontal="center" vertical="center"/>
    </xf>
    <xf numFmtId="2" fontId="41" fillId="2" borderId="5" xfId="0" applyNumberFormat="1" applyFont="1" applyFill="1" applyBorder="1" applyAlignment="1">
      <alignment horizontal="center" vertical="center" wrapText="1"/>
    </xf>
    <xf numFmtId="2" fontId="41" fillId="2" borderId="6" xfId="0" applyNumberFormat="1" applyFont="1" applyFill="1" applyBorder="1" applyAlignment="1">
      <alignment horizontal="center" vertical="center"/>
    </xf>
    <xf numFmtId="0" fontId="40" fillId="5" borderId="7" xfId="0" applyFont="1" applyFill="1" applyBorder="1" applyAlignment="1">
      <alignment horizontal="center" vertical="center"/>
    </xf>
    <xf numFmtId="0" fontId="40" fillId="5" borderId="8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7" fillId="0" borderId="13" xfId="0" applyFont="1" applyFill="1" applyBorder="1" applyAlignment="1">
      <alignment horizontal="center" vertical="top"/>
    </xf>
    <xf numFmtId="4" fontId="1" fillId="0" borderId="12" xfId="0" applyNumberFormat="1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6" fillId="0" borderId="0" xfId="1" applyFont="1" applyFill="1" applyAlignment="1">
      <alignment horizontal="left"/>
    </xf>
    <xf numFmtId="0" fontId="37" fillId="0" borderId="12" xfId="0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center" vertical="top"/>
    </xf>
    <xf numFmtId="0" fontId="13" fillId="0" borderId="0" xfId="0" applyFont="1" applyAlignment="1">
      <alignment horizontal="center" vertical="center"/>
    </xf>
    <xf numFmtId="0" fontId="24" fillId="0" borderId="0" xfId="0" applyFont="1" applyFill="1" applyAlignment="1">
      <alignment horizontal="left"/>
    </xf>
    <xf numFmtId="0" fontId="27" fillId="0" borderId="0" xfId="1" applyFont="1" applyFill="1" applyAlignment="1">
      <alignment horizontal="left" wrapText="1"/>
    </xf>
    <xf numFmtId="0" fontId="28" fillId="0" borderId="14" xfId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4" fontId="31" fillId="0" borderId="14" xfId="0" applyNumberFormat="1" applyFont="1" applyBorder="1" applyAlignment="1">
      <alignment horizontal="center" vertical="center"/>
    </xf>
    <xf numFmtId="2" fontId="31" fillId="0" borderId="14" xfId="0" applyNumberFormat="1" applyFont="1" applyBorder="1" applyAlignment="1">
      <alignment horizontal="center" vertical="center"/>
    </xf>
  </cellXfs>
  <cellStyles count="5">
    <cellStyle name="Обычный" xfId="0" builtinId="0"/>
    <cellStyle name="Обычный 2" xfId="3"/>
    <cellStyle name="Обычный 3" xfId="4"/>
    <cellStyle name="Обычный_S2-ETAL" xfId="2"/>
    <cellStyle name="Обычный_Объек-1" xfId="1"/>
  </cellStyles>
  <dxfs count="0"/>
  <tableStyles count="0" defaultTableStyle="TableStyleMedium2" defaultPivotStyle="PivotStyleLight16"/>
  <colors>
    <mruColors>
      <color rgb="FF0000FF"/>
      <color rgb="FFEAD5FF"/>
      <color rgb="FFFF00FF"/>
      <color rgb="FF9900FF"/>
      <color rgb="FF5E0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257175</xdr:colOff>
      <xdr:row>34</xdr:row>
      <xdr:rowOff>171450</xdr:rowOff>
    </xdr:from>
    <xdr:to>
      <xdr:col>4</xdr:col>
      <xdr:colOff>857250</xdr:colOff>
      <xdr:row>38</xdr:row>
      <xdr:rowOff>8089</xdr:rowOff>
    </xdr:to>
    <xdr:pic>
      <xdr:nvPicPr>
        <xdr:cNvPr id="2" name="Рисунок 3" descr="C:\Users\iakimenko\Desktop\B2-F2013191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9915525"/>
          <a:ext cx="600075" cy="5986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361950</xdr:colOff>
          <xdr:row>33</xdr:row>
          <xdr:rowOff>104775</xdr:rowOff>
        </xdr:from>
        <xdr:to>
          <xdr:col>4</xdr:col>
          <xdr:colOff>904875</xdr:colOff>
          <xdr:row>35</xdr:row>
          <xdr:rowOff>95250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4</xdr:col>
      <xdr:colOff>428625</xdr:colOff>
      <xdr:row>31</xdr:row>
      <xdr:rowOff>148736</xdr:rowOff>
    </xdr:from>
    <xdr:to>
      <xdr:col>4</xdr:col>
      <xdr:colOff>914400</xdr:colOff>
      <xdr:row>33</xdr:row>
      <xdr:rowOff>43961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9321311"/>
          <a:ext cx="485775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257175</xdr:colOff>
      <xdr:row>34</xdr:row>
      <xdr:rowOff>171450</xdr:rowOff>
    </xdr:from>
    <xdr:to>
      <xdr:col>4</xdr:col>
      <xdr:colOff>857250</xdr:colOff>
      <xdr:row>38</xdr:row>
      <xdr:rowOff>8089</xdr:rowOff>
    </xdr:to>
    <xdr:pic>
      <xdr:nvPicPr>
        <xdr:cNvPr id="3" name="Рисунок 3" descr="C:\Users\iakimenko\Desktop\B2-F2013191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13154025"/>
          <a:ext cx="600075" cy="5986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361950</xdr:colOff>
          <xdr:row>33</xdr:row>
          <xdr:rowOff>104775</xdr:rowOff>
        </xdr:from>
        <xdr:to>
          <xdr:col>4</xdr:col>
          <xdr:colOff>904875</xdr:colOff>
          <xdr:row>35</xdr:row>
          <xdr:rowOff>95250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4</xdr:col>
      <xdr:colOff>428625</xdr:colOff>
      <xdr:row>31</xdr:row>
      <xdr:rowOff>148736</xdr:rowOff>
    </xdr:from>
    <xdr:to>
      <xdr:col>4</xdr:col>
      <xdr:colOff>914400</xdr:colOff>
      <xdr:row>33</xdr:row>
      <xdr:rowOff>43961</xdr:rowOff>
    </xdr:to>
    <xdr:pic>
      <xdr:nvPicPr>
        <xdr:cNvPr id="7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9607061"/>
          <a:ext cx="485775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emf"/><Relationship Id="rId4" Type="http://schemas.openxmlformats.org/officeDocument/2006/relationships/oleObject" Target="../embeddings/_________Microsoft_Visio_2003_2010.vsd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1.emf"/><Relationship Id="rId4" Type="http://schemas.openxmlformats.org/officeDocument/2006/relationships/oleObject" Target="../embeddings/_________Microsoft_Visio_2003_20101.vsd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0"/>
  <sheetViews>
    <sheetView view="pageBreakPreview" topLeftCell="A8" zoomScaleNormal="100" zoomScaleSheetLayoutView="100" workbookViewId="0">
      <selection activeCell="F23" sqref="F23"/>
    </sheetView>
  </sheetViews>
  <sheetFormatPr defaultRowHeight="14.25"/>
  <cols>
    <col min="1" max="1" width="30.42578125" style="148" customWidth="1"/>
    <col min="2" max="2" width="19.28515625" style="148" customWidth="1"/>
    <col min="3" max="3" width="32.5703125" style="148" customWidth="1"/>
    <col min="4" max="4" width="9.28515625" style="148" bestFit="1" customWidth="1"/>
    <col min="5" max="5" width="10.85546875" style="148" customWidth="1"/>
    <col min="6" max="6" width="11.140625" style="148" customWidth="1"/>
    <col min="7" max="7" width="6.42578125" style="148" bestFit="1" customWidth="1"/>
    <col min="8" max="8" width="6.7109375" style="148" customWidth="1"/>
    <col min="9" max="9" width="14.140625" style="148" customWidth="1"/>
    <col min="10" max="10" width="9.140625" style="148"/>
    <col min="11" max="11" width="9.42578125" style="148" bestFit="1" customWidth="1"/>
    <col min="12" max="16384" width="9.140625" style="148"/>
  </cols>
  <sheetData>
    <row r="1" spans="1:8" s="153" customFormat="1" ht="20.100000000000001" customHeight="1">
      <c r="A1" s="151" t="s">
        <v>119</v>
      </c>
      <c r="B1" s="278" t="s">
        <v>162</v>
      </c>
      <c r="C1" s="279"/>
      <c r="D1" s="279"/>
      <c r="E1" s="280"/>
      <c r="F1" s="152"/>
      <c r="G1" s="152"/>
      <c r="H1" s="152"/>
    </row>
    <row r="2" spans="1:8" s="153" customFormat="1" ht="28.5" customHeight="1">
      <c r="A2" s="283" t="s">
        <v>120</v>
      </c>
      <c r="B2" s="281" t="s">
        <v>163</v>
      </c>
      <c r="C2" s="282"/>
      <c r="D2" s="279"/>
      <c r="E2" s="280"/>
      <c r="F2" s="281"/>
      <c r="G2" s="279"/>
      <c r="H2" s="280"/>
    </row>
    <row r="3" spans="1:8" s="153" customFormat="1" ht="29.25" customHeight="1">
      <c r="A3" s="284"/>
      <c r="B3" s="281" t="s">
        <v>110</v>
      </c>
      <c r="C3" s="282"/>
      <c r="D3" s="282"/>
      <c r="E3" s="285"/>
      <c r="F3" s="155"/>
      <c r="G3" s="156"/>
      <c r="H3" s="156"/>
    </row>
    <row r="4" spans="1:8" s="153" customFormat="1" ht="17.25" customHeight="1">
      <c r="A4" s="193"/>
      <c r="B4" s="191" t="s">
        <v>164</v>
      </c>
      <c r="C4" s="192"/>
      <c r="D4" s="192"/>
      <c r="E4" s="194"/>
      <c r="F4" s="155"/>
      <c r="G4" s="156"/>
      <c r="H4" s="156"/>
    </row>
    <row r="5" spans="1:8" s="153" customFormat="1" ht="20.100000000000001" customHeight="1">
      <c r="A5" s="151" t="s">
        <v>121</v>
      </c>
      <c r="B5" s="278" t="s">
        <v>122</v>
      </c>
      <c r="C5" s="279"/>
      <c r="D5" s="279"/>
      <c r="E5" s="280"/>
      <c r="F5" s="152"/>
      <c r="G5" s="152"/>
      <c r="H5" s="152"/>
    </row>
    <row r="6" spans="1:8" s="153" customFormat="1" ht="20.100000000000001" customHeight="1">
      <c r="A6" s="151" t="s">
        <v>110</v>
      </c>
      <c r="B6" s="278" t="s">
        <v>123</v>
      </c>
      <c r="C6" s="279"/>
      <c r="D6" s="279"/>
      <c r="E6" s="280"/>
      <c r="F6" s="152"/>
      <c r="G6" s="152"/>
      <c r="H6" s="152"/>
    </row>
    <row r="7" spans="1:8" s="153" customFormat="1" ht="20.100000000000001" customHeight="1">
      <c r="A7" s="151" t="s">
        <v>30</v>
      </c>
      <c r="B7" s="278" t="s">
        <v>133</v>
      </c>
      <c r="C7" s="279"/>
      <c r="D7" s="279"/>
      <c r="E7" s="280"/>
      <c r="F7" s="152"/>
      <c r="G7" s="152"/>
      <c r="H7" s="152"/>
    </row>
    <row r="8" spans="1:8" s="153" customFormat="1" ht="20.100000000000001" customHeight="1">
      <c r="A8" s="151" t="s">
        <v>31</v>
      </c>
      <c r="B8" s="278" t="s">
        <v>134</v>
      </c>
      <c r="C8" s="279"/>
      <c r="D8" s="279"/>
      <c r="E8" s="280"/>
      <c r="F8" s="152"/>
      <c r="G8" s="152"/>
      <c r="H8" s="152"/>
    </row>
    <row r="9" spans="1:8" s="153" customFormat="1" ht="20.100000000000001" customHeight="1">
      <c r="A9" s="151" t="s">
        <v>32</v>
      </c>
      <c r="B9" s="278" t="s">
        <v>133</v>
      </c>
      <c r="C9" s="279"/>
      <c r="D9" s="279"/>
      <c r="E9" s="280"/>
      <c r="F9" s="152"/>
      <c r="G9" s="152"/>
      <c r="H9" s="152"/>
    </row>
    <row r="10" spans="1:8" s="153" customFormat="1" ht="38.25" customHeight="1">
      <c r="A10" s="157" t="s">
        <v>0</v>
      </c>
      <c r="B10" s="281" t="s">
        <v>165</v>
      </c>
      <c r="C10" s="282"/>
      <c r="D10" s="282"/>
      <c r="E10" s="285"/>
      <c r="F10" s="152"/>
      <c r="G10" s="152"/>
      <c r="H10" s="152"/>
    </row>
    <row r="11" spans="1:8" s="143" customFormat="1">
      <c r="A11" s="144"/>
      <c r="B11" s="158" t="s">
        <v>151</v>
      </c>
      <c r="C11" s="292"/>
      <c r="D11" s="292"/>
      <c r="E11" s="293"/>
      <c r="F11" s="142"/>
      <c r="G11" s="142"/>
      <c r="H11" s="142"/>
    </row>
    <row r="12" spans="1:8" s="143" customFormat="1" ht="25.5">
      <c r="A12" s="202" t="s">
        <v>124</v>
      </c>
      <c r="B12" s="159">
        <v>47.51</v>
      </c>
      <c r="C12" s="288" t="s">
        <v>153</v>
      </c>
      <c r="D12" s="286" t="s">
        <v>152</v>
      </c>
      <c r="E12" s="141"/>
      <c r="F12" s="142"/>
      <c r="G12" s="142"/>
      <c r="H12" s="142"/>
    </row>
    <row r="13" spans="1:8" s="143" customFormat="1" ht="25.5">
      <c r="A13" s="202" t="s">
        <v>125</v>
      </c>
      <c r="B13" s="159">
        <v>9.66</v>
      </c>
      <c r="C13" s="289"/>
      <c r="D13" s="291"/>
      <c r="E13" s="141"/>
      <c r="F13" s="142"/>
      <c r="G13" s="142"/>
      <c r="H13" s="142"/>
    </row>
    <row r="14" spans="1:8" s="143" customFormat="1" ht="38.25">
      <c r="A14" s="202" t="s">
        <v>126</v>
      </c>
      <c r="B14" s="159">
        <v>15.6</v>
      </c>
      <c r="C14" s="290"/>
      <c r="D14" s="287"/>
      <c r="E14" s="141"/>
      <c r="F14" s="142"/>
      <c r="G14" s="142"/>
      <c r="H14" s="142"/>
    </row>
    <row r="15" spans="1:8" s="143" customFormat="1" ht="36.75" customHeight="1">
      <c r="A15" s="195" t="s">
        <v>127</v>
      </c>
      <c r="B15" s="184">
        <v>14.17</v>
      </c>
      <c r="C15" s="294" t="s">
        <v>154</v>
      </c>
      <c r="D15" s="196" t="s">
        <v>115</v>
      </c>
      <c r="E15" s="141"/>
      <c r="F15" s="142"/>
      <c r="G15" s="142"/>
      <c r="H15" s="142"/>
    </row>
    <row r="16" spans="1:8" s="143" customFormat="1" ht="38.25">
      <c r="A16" s="226" t="s">
        <v>129</v>
      </c>
      <c r="B16" s="183">
        <v>5.34</v>
      </c>
      <c r="C16" s="295"/>
      <c r="D16" s="196" t="s">
        <v>128</v>
      </c>
      <c r="E16" s="141"/>
      <c r="F16" s="142"/>
      <c r="G16" s="142"/>
      <c r="H16" s="142"/>
    </row>
    <row r="17" spans="1:11" s="143" customFormat="1" ht="14.25" customHeight="1">
      <c r="A17" s="159" t="s">
        <v>1</v>
      </c>
      <c r="B17" s="159">
        <v>5.36</v>
      </c>
      <c r="C17" s="288" t="s">
        <v>155</v>
      </c>
      <c r="D17" s="286" t="s">
        <v>130</v>
      </c>
      <c r="E17" s="151">
        <v>1.266</v>
      </c>
      <c r="F17" s="142"/>
      <c r="G17" s="142"/>
      <c r="H17" s="142"/>
    </row>
    <row r="18" spans="1:11" s="143" customFormat="1">
      <c r="A18" s="159" t="s">
        <v>2</v>
      </c>
      <c r="B18" s="159">
        <v>5.32</v>
      </c>
      <c r="C18" s="287"/>
      <c r="D18" s="287"/>
      <c r="E18" s="151">
        <v>1.19</v>
      </c>
      <c r="F18" s="142"/>
      <c r="G18" s="142"/>
      <c r="H18" s="142"/>
    </row>
    <row r="19" spans="1:11" s="143" customFormat="1">
      <c r="A19" s="144" t="s">
        <v>59</v>
      </c>
      <c r="B19" s="145"/>
      <c r="C19" s="145"/>
      <c r="D19" s="146"/>
      <c r="E19" s="146"/>
      <c r="F19" s="142"/>
      <c r="G19" s="142"/>
      <c r="H19" s="142"/>
    </row>
    <row r="20" spans="1:11" s="143" customFormat="1">
      <c r="A20" s="157" t="s">
        <v>3</v>
      </c>
      <c r="B20" s="154">
        <v>6.92</v>
      </c>
      <c r="C20" s="145"/>
      <c r="D20" s="146"/>
      <c r="E20" s="146"/>
      <c r="F20" s="142" t="s">
        <v>141</v>
      </c>
      <c r="G20" s="142"/>
      <c r="H20" s="142"/>
      <c r="I20" s="240"/>
    </row>
    <row r="21" spans="1:11">
      <c r="A21" s="296" t="s">
        <v>4</v>
      </c>
      <c r="B21" s="297"/>
      <c r="C21" s="243"/>
      <c r="D21" s="244" t="s">
        <v>5</v>
      </c>
      <c r="E21" s="244" t="s">
        <v>6</v>
      </c>
      <c r="F21" s="147"/>
      <c r="G21" s="147"/>
      <c r="H21" s="147"/>
      <c r="K21" s="260"/>
    </row>
    <row r="22" spans="1:11" ht="30" hidden="1" customHeight="1">
      <c r="A22" s="245" t="s">
        <v>111</v>
      </c>
      <c r="B22" s="265" t="s">
        <v>114</v>
      </c>
      <c r="C22" s="272"/>
      <c r="D22" s="246"/>
      <c r="E22" s="247">
        <v>0</v>
      </c>
      <c r="F22" s="175"/>
      <c r="G22" s="164"/>
      <c r="H22" s="149"/>
      <c r="I22" s="150"/>
    </row>
    <row r="23" spans="1:11" ht="30" customHeight="1">
      <c r="A23" s="245" t="s">
        <v>166</v>
      </c>
      <c r="B23" s="265" t="s">
        <v>150</v>
      </c>
      <c r="C23" s="272"/>
      <c r="D23" s="246"/>
      <c r="E23" s="247">
        <f>276778.8/1000</f>
        <v>276.77999999999997</v>
      </c>
      <c r="F23" s="164">
        <f>168.7/1000</f>
        <v>0.16869999999999999</v>
      </c>
      <c r="H23" s="149"/>
      <c r="I23" s="150"/>
    </row>
    <row r="24" spans="1:11" ht="30" hidden="1" customHeight="1">
      <c r="A24" s="245" t="s">
        <v>135</v>
      </c>
      <c r="B24" s="265" t="s">
        <v>136</v>
      </c>
      <c r="C24" s="272"/>
      <c r="D24" s="246"/>
      <c r="E24" s="247">
        <f>101509/1000</f>
        <v>101.51</v>
      </c>
      <c r="F24" s="175"/>
      <c r="G24" s="164"/>
      <c r="H24" s="149"/>
      <c r="I24" s="150"/>
    </row>
    <row r="25" spans="1:11" s="161" customFormat="1" ht="60" customHeight="1">
      <c r="A25" s="248" t="s">
        <v>131</v>
      </c>
      <c r="B25" s="265" t="s">
        <v>143</v>
      </c>
      <c r="C25" s="272"/>
      <c r="D25" s="249">
        <v>2.4</v>
      </c>
      <c r="E25" s="247" t="s">
        <v>7</v>
      </c>
      <c r="F25" s="162">
        <v>0.8</v>
      </c>
      <c r="G25" s="163">
        <f>D25*F25</f>
        <v>1.92</v>
      </c>
      <c r="H25" s="160"/>
    </row>
    <row r="26" spans="1:11" s="161" customFormat="1" ht="20.100000000000001" customHeight="1">
      <c r="A26" s="245" t="s">
        <v>82</v>
      </c>
      <c r="B26" s="265" t="s">
        <v>81</v>
      </c>
      <c r="C26" s="272"/>
      <c r="D26" s="242"/>
      <c r="E26" s="242">
        <v>2715.77</v>
      </c>
      <c r="F26" s="166"/>
      <c r="G26" s="166"/>
      <c r="H26" s="166"/>
    </row>
    <row r="27" spans="1:11" s="161" customFormat="1" ht="39" customHeight="1">
      <c r="A27" s="245" t="s">
        <v>167</v>
      </c>
      <c r="B27" s="265" t="s">
        <v>137</v>
      </c>
      <c r="C27" s="266"/>
      <c r="D27" s="242"/>
      <c r="E27" s="242">
        <f>521.74/1000</f>
        <v>0.52</v>
      </c>
      <c r="F27" s="166"/>
      <c r="G27" s="166"/>
      <c r="H27" s="166"/>
    </row>
    <row r="28" spans="1:11" s="161" customFormat="1" ht="32.25" customHeight="1">
      <c r="A28" s="245" t="s">
        <v>168</v>
      </c>
      <c r="B28" s="265" t="s">
        <v>138</v>
      </c>
      <c r="C28" s="272"/>
      <c r="D28" s="242"/>
      <c r="E28" s="242">
        <f>398990.63/1000</f>
        <v>398.99</v>
      </c>
      <c r="F28" s="166"/>
      <c r="G28" s="166"/>
      <c r="H28" s="166"/>
    </row>
    <row r="29" spans="1:11" ht="47.25" hidden="1" customHeight="1">
      <c r="A29" s="250" t="s">
        <v>104</v>
      </c>
      <c r="B29" s="274" t="s">
        <v>103</v>
      </c>
      <c r="C29" s="275"/>
      <c r="D29" s="251"/>
      <c r="E29" s="242">
        <v>0</v>
      </c>
      <c r="F29" s="147"/>
      <c r="G29" s="147"/>
      <c r="H29" s="147"/>
    </row>
    <row r="30" spans="1:11" s="161" customFormat="1" ht="23.25" customHeight="1">
      <c r="A30" s="245" t="s">
        <v>167</v>
      </c>
      <c r="B30" s="267" t="s">
        <v>139</v>
      </c>
      <c r="C30" s="268"/>
      <c r="D30" s="242"/>
      <c r="E30" s="242">
        <f>10534.33/1000</f>
        <v>10.53</v>
      </c>
      <c r="F30" s="166"/>
      <c r="G30" s="166"/>
      <c r="H30" s="166"/>
    </row>
    <row r="31" spans="1:11" s="161" customFormat="1" ht="30" customHeight="1">
      <c r="A31" s="237" t="s">
        <v>117</v>
      </c>
      <c r="B31" s="271" t="s">
        <v>55</v>
      </c>
      <c r="C31" s="271"/>
      <c r="D31" s="238">
        <v>2.14</v>
      </c>
      <c r="E31" s="238" t="s">
        <v>7</v>
      </c>
      <c r="F31" s="166"/>
      <c r="G31" s="166"/>
      <c r="H31" s="166"/>
    </row>
    <row r="32" spans="1:11" s="161" customFormat="1" ht="38.25">
      <c r="A32" s="165" t="s">
        <v>72</v>
      </c>
      <c r="B32" s="270" t="s">
        <v>73</v>
      </c>
      <c r="C32" s="270"/>
      <c r="D32" s="236">
        <v>0.2</v>
      </c>
      <c r="E32" s="236" t="s">
        <v>7</v>
      </c>
      <c r="F32" s="166"/>
      <c r="G32" s="166"/>
      <c r="H32" s="166"/>
    </row>
    <row r="33" spans="1:11" ht="48.75" customHeight="1">
      <c r="A33" s="228" t="s">
        <v>158</v>
      </c>
      <c r="B33" s="273" t="s">
        <v>118</v>
      </c>
      <c r="C33" s="273"/>
      <c r="D33" s="229">
        <f>(51142.8+34103.15+41555.56+36690.93)/1000</f>
        <v>163.49</v>
      </c>
      <c r="E33" s="229">
        <f>(274125.41+182792.89+222737.81+196663.37)/1000</f>
        <v>876.32</v>
      </c>
      <c r="F33" s="147"/>
      <c r="G33" s="147"/>
      <c r="H33" s="147">
        <f>E33/B17</f>
        <v>163.49253731343299</v>
      </c>
    </row>
    <row r="34" spans="1:11" ht="52.5" customHeight="1">
      <c r="A34" s="228" t="s">
        <v>159</v>
      </c>
      <c r="B34" s="276" t="s">
        <v>105</v>
      </c>
      <c r="C34" s="277"/>
      <c r="D34" s="229">
        <f>60833.08/1000</f>
        <v>60.83</v>
      </c>
      <c r="E34" s="229">
        <f>323632/1000</f>
        <v>323.63</v>
      </c>
      <c r="F34" s="147"/>
      <c r="G34" s="147"/>
      <c r="H34" s="147">
        <f>E34/B18</f>
        <v>60.832706766917298</v>
      </c>
    </row>
    <row r="35" spans="1:11" ht="54" customHeight="1">
      <c r="A35" s="228" t="s">
        <v>160</v>
      </c>
      <c r="B35" s="276" t="s">
        <v>107</v>
      </c>
      <c r="C35" s="277"/>
      <c r="D35" s="229">
        <f>91249.06/1000</f>
        <v>91.25</v>
      </c>
      <c r="E35" s="229">
        <f>485445/1000</f>
        <v>485.45</v>
      </c>
      <c r="F35" s="227">
        <f>E33+E34+E35</f>
        <v>1685.4</v>
      </c>
      <c r="G35" s="147"/>
      <c r="H35" s="147"/>
    </row>
    <row r="36" spans="1:11" ht="25.5">
      <c r="A36" s="228" t="s">
        <v>132</v>
      </c>
      <c r="B36" s="276" t="s">
        <v>106</v>
      </c>
      <c r="C36" s="277"/>
      <c r="D36" s="229"/>
      <c r="E36" s="229">
        <v>0</v>
      </c>
      <c r="F36" s="147"/>
      <c r="G36" s="147">
        <v>578.94000000000005</v>
      </c>
      <c r="H36" s="147"/>
      <c r="I36" s="261">
        <f>E33+E34+E35+E36</f>
        <v>1685.4</v>
      </c>
      <c r="K36" s="261">
        <f>D33+D34+D35+D36</f>
        <v>315.57</v>
      </c>
    </row>
    <row r="37" spans="1:11" s="161" customFormat="1" ht="38.25">
      <c r="A37" s="165" t="s">
        <v>74</v>
      </c>
      <c r="B37" s="270" t="s">
        <v>58</v>
      </c>
      <c r="C37" s="270"/>
      <c r="D37" s="168">
        <v>3</v>
      </c>
      <c r="E37" s="168">
        <v>0.03</v>
      </c>
      <c r="F37" s="152">
        <v>3</v>
      </c>
    </row>
    <row r="39" spans="1:11">
      <c r="A39" s="269" t="s">
        <v>49</v>
      </c>
      <c r="B39" s="269"/>
      <c r="C39" s="269"/>
      <c r="D39" s="174" t="s">
        <v>5</v>
      </c>
      <c r="E39" s="174" t="s">
        <v>75</v>
      </c>
    </row>
    <row r="40" spans="1:11" ht="15" customHeight="1">
      <c r="A40" s="269"/>
      <c r="B40" s="269"/>
      <c r="C40" s="269"/>
      <c r="D40" s="321">
        <v>7.55</v>
      </c>
      <c r="E40" s="322">
        <v>87.55</v>
      </c>
    </row>
  </sheetData>
  <mergeCells count="36">
    <mergeCell ref="B26:C26"/>
    <mergeCell ref="B25:C25"/>
    <mergeCell ref="C15:C16"/>
    <mergeCell ref="C17:C18"/>
    <mergeCell ref="B22:C22"/>
    <mergeCell ref="A21:B21"/>
    <mergeCell ref="B24:C24"/>
    <mergeCell ref="B23:C23"/>
    <mergeCell ref="D17:D18"/>
    <mergeCell ref="C12:C14"/>
    <mergeCell ref="D12:D14"/>
    <mergeCell ref="F2:H2"/>
    <mergeCell ref="B7:E7"/>
    <mergeCell ref="B10:E10"/>
    <mergeCell ref="C11:E11"/>
    <mergeCell ref="B6:E6"/>
    <mergeCell ref="B8:E8"/>
    <mergeCell ref="B9:E9"/>
    <mergeCell ref="B1:E1"/>
    <mergeCell ref="B2:E2"/>
    <mergeCell ref="A2:A3"/>
    <mergeCell ref="B3:E3"/>
    <mergeCell ref="B5:E5"/>
    <mergeCell ref="B27:C27"/>
    <mergeCell ref="B30:C30"/>
    <mergeCell ref="A40:C40"/>
    <mergeCell ref="B37:C37"/>
    <mergeCell ref="B31:C31"/>
    <mergeCell ref="B28:C28"/>
    <mergeCell ref="B32:C32"/>
    <mergeCell ref="B33:C33"/>
    <mergeCell ref="A39:C39"/>
    <mergeCell ref="B29:C29"/>
    <mergeCell ref="B34:C34"/>
    <mergeCell ref="B36:C36"/>
    <mergeCell ref="B35:C35"/>
  </mergeCells>
  <pageMargins left="0.7" right="0.7" top="0.75" bottom="0.75" header="0.3" footer="0.3"/>
  <pageSetup paperSize="9" scale="82" orientation="portrait" r:id="rId1"/>
  <colBreaks count="1" manualBreakCount="1">
    <brk id="5" max="1048575" man="1"/>
  </colBreak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view="pageBreakPreview" zoomScaleNormal="100" zoomScaleSheetLayoutView="100" workbookViewId="0">
      <selection activeCell="B4" sqref="B4"/>
    </sheetView>
  </sheetViews>
  <sheetFormatPr defaultRowHeight="14.25"/>
  <cols>
    <col min="1" max="1" width="58.5703125" style="101" customWidth="1"/>
    <col min="2" max="2" width="16.85546875" style="101" customWidth="1"/>
    <col min="3" max="3" width="11" style="101" customWidth="1"/>
    <col min="4" max="16384" width="9.140625" style="101"/>
  </cols>
  <sheetData>
    <row r="1" spans="1:3">
      <c r="A1" s="107"/>
      <c r="B1" s="108"/>
      <c r="C1" s="109"/>
    </row>
    <row r="2" spans="1:3" ht="28.5">
      <c r="A2" s="107" t="s">
        <v>156</v>
      </c>
      <c r="B2" s="108">
        <f>ССРтек!I58</f>
        <v>87.55</v>
      </c>
      <c r="C2" s="109" t="s">
        <v>116</v>
      </c>
    </row>
    <row r="3" spans="1:3">
      <c r="A3" s="107"/>
      <c r="B3" s="108"/>
      <c r="C3" s="109"/>
    </row>
    <row r="4" spans="1:3" ht="28.5">
      <c r="A4" s="107" t="str">
        <f>CONCATENATE("Сметная стоимость на ",ИД!B11," определилась в размере ")</f>
        <v xml:space="preserve">Сметная стоимость на 1 квартал 2023 г. определилась в размере </v>
      </c>
      <c r="B4" s="108">
        <f>ССРтек!I54</f>
        <v>25560.55</v>
      </c>
      <c r="C4" s="109" t="s">
        <v>53</v>
      </c>
    </row>
    <row r="5" spans="1:3" ht="18" customHeight="1">
      <c r="A5" s="109" t="s">
        <v>51</v>
      </c>
      <c r="B5" s="108">
        <f>ССРтек!E54+ССРтек!F54</f>
        <v>19773.38</v>
      </c>
      <c r="C5" s="109" t="s">
        <v>53</v>
      </c>
    </row>
    <row r="6" spans="1:3">
      <c r="A6" s="109"/>
      <c r="B6" s="108"/>
      <c r="C6" s="109"/>
    </row>
    <row r="7" spans="1:3" ht="28.5">
      <c r="A7" s="107" t="str">
        <f>CONCATENATE("С учетом НДС сметная стоимость на ",ИД!B11," определилась в размере ")</f>
        <v xml:space="preserve">С учетом НДС сметная стоимость на 1 квартал 2023 г. определилась в размере </v>
      </c>
      <c r="B7" s="108">
        <f>ССРтек!I57</f>
        <v>30672.66</v>
      </c>
      <c r="C7" s="109" t="s">
        <v>53</v>
      </c>
    </row>
    <row r="8" spans="1:3" ht="18" customHeight="1">
      <c r="A8" s="109" t="s">
        <v>52</v>
      </c>
      <c r="B8" s="108">
        <f>ССРтек!E57+ССРтек!F57</f>
        <v>23728.06</v>
      </c>
      <c r="C8" s="109" t="s">
        <v>53</v>
      </c>
    </row>
    <row r="9" spans="1:3">
      <c r="A9" s="109"/>
      <c r="B9" s="108"/>
      <c r="C9" s="109"/>
    </row>
    <row r="10" spans="1:3" ht="18" hidden="1" customHeight="1">
      <c r="A10" s="110" t="s">
        <v>140</v>
      </c>
      <c r="B10" s="111" t="e">
        <f>B7/ИД!#REF!</f>
        <v>#REF!</v>
      </c>
      <c r="C10" s="109" t="s">
        <v>53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showZeros="0" tabSelected="1" view="pageBreakPreview" topLeftCell="A53" zoomScaleNormal="100" zoomScaleSheetLayoutView="100" workbookViewId="0">
      <selection activeCell="E48" sqref="E48"/>
    </sheetView>
  </sheetViews>
  <sheetFormatPr defaultRowHeight="15"/>
  <cols>
    <col min="1" max="1" width="6.85546875" style="28" customWidth="1"/>
    <col min="2" max="2" width="5.7109375" style="32" customWidth="1"/>
    <col min="3" max="3" width="19.7109375" style="32" customWidth="1"/>
    <col min="4" max="4" width="48.7109375" style="32" customWidth="1"/>
    <col min="5" max="5" width="16.28515625" style="32" customWidth="1"/>
    <col min="6" max="8" width="13.7109375" style="32" customWidth="1"/>
    <col min="9" max="9" width="15.7109375" style="32" customWidth="1"/>
    <col min="10" max="10" width="11.28515625" style="32" bestFit="1" customWidth="1"/>
    <col min="11" max="16384" width="9.140625" style="32"/>
  </cols>
  <sheetData>
    <row r="1" spans="2:9">
      <c r="B1" s="2"/>
      <c r="C1" s="3"/>
      <c r="D1" s="4"/>
      <c r="E1" s="2"/>
      <c r="F1" s="2"/>
      <c r="G1" s="2"/>
      <c r="H1" s="2"/>
      <c r="I1" s="5" t="s">
        <v>8</v>
      </c>
    </row>
    <row r="2" spans="2:9" ht="19.5" customHeight="1">
      <c r="B2" s="2"/>
      <c r="C2" s="3" t="s">
        <v>9</v>
      </c>
      <c r="D2" s="310" t="str">
        <f>ИД!B2</f>
        <v>ООО "Системы Энергосбережения"</v>
      </c>
      <c r="E2" s="310"/>
      <c r="F2" s="310"/>
      <c r="G2" s="310"/>
      <c r="H2" s="310"/>
      <c r="I2" s="2"/>
    </row>
    <row r="3" spans="2:9">
      <c r="B3" s="2"/>
      <c r="C3" s="3"/>
      <c r="D3" s="311" t="s">
        <v>10</v>
      </c>
      <c r="E3" s="311"/>
      <c r="F3" s="311"/>
      <c r="G3" s="311"/>
      <c r="H3" s="311"/>
      <c r="I3" s="2"/>
    </row>
    <row r="4" spans="2:9">
      <c r="B4" s="2"/>
      <c r="C4" s="3" t="s">
        <v>161</v>
      </c>
      <c r="D4" s="6"/>
      <c r="E4" s="2"/>
      <c r="F4" s="7"/>
      <c r="G4" s="2"/>
      <c r="H4" s="2"/>
      <c r="I4" s="2"/>
    </row>
    <row r="5" spans="2:9">
      <c r="B5" s="2"/>
      <c r="C5" s="3"/>
      <c r="D5" s="4"/>
      <c r="E5" s="2"/>
      <c r="F5" s="7"/>
      <c r="G5" s="2"/>
      <c r="H5" s="2"/>
      <c r="I5" s="2"/>
    </row>
    <row r="6" spans="2:9">
      <c r="B6" s="2"/>
      <c r="C6" s="57" t="str">
        <f>" Сводный сметный расчет сметной стоимостью     "&amp;I57&amp;"     тыс.руб."</f>
        <v xml:space="preserve"> Сводный сметный расчет сметной стоимостью     30672,66     тыс.руб.</v>
      </c>
      <c r="D6" s="4"/>
      <c r="E6" s="2"/>
      <c r="F6" s="7"/>
      <c r="G6" s="2"/>
      <c r="H6" s="2"/>
      <c r="I6" s="2"/>
    </row>
    <row r="7" spans="2:9">
      <c r="B7" s="2"/>
      <c r="C7" s="8"/>
      <c r="D7" s="310"/>
      <c r="E7" s="310"/>
      <c r="F7" s="310"/>
      <c r="G7" s="310"/>
      <c r="H7" s="310"/>
      <c r="I7" s="2"/>
    </row>
    <row r="8" spans="2:9">
      <c r="B8" s="2"/>
      <c r="C8" s="3"/>
      <c r="D8" s="311" t="s">
        <v>11</v>
      </c>
      <c r="E8" s="311"/>
      <c r="F8" s="311"/>
      <c r="G8" s="311"/>
      <c r="H8" s="311"/>
      <c r="I8" s="2"/>
    </row>
    <row r="9" spans="2:9">
      <c r="B9" s="2"/>
      <c r="C9" s="3"/>
      <c r="D9" s="4"/>
      <c r="E9" s="9"/>
      <c r="F9" s="9"/>
      <c r="G9" s="9"/>
      <c r="H9" s="2"/>
      <c r="I9" s="2"/>
    </row>
    <row r="10" spans="2:9" ht="20.25" customHeight="1">
      <c r="B10" s="2"/>
      <c r="C10" s="3"/>
      <c r="D10" s="312" t="s">
        <v>108</v>
      </c>
      <c r="E10" s="312"/>
      <c r="F10" s="312"/>
      <c r="G10" s="312"/>
      <c r="H10" s="312"/>
      <c r="I10" s="2"/>
    </row>
    <row r="11" spans="2:9">
      <c r="B11" s="2"/>
      <c r="C11" s="3"/>
      <c r="D11" s="117"/>
      <c r="E11" s="117"/>
      <c r="F11" s="117"/>
      <c r="G11" s="117"/>
      <c r="H11" s="117"/>
      <c r="I11" s="2"/>
    </row>
    <row r="12" spans="2:9" ht="30" customHeight="1">
      <c r="B12" s="2"/>
      <c r="C12" s="3"/>
      <c r="D12" s="309" t="str">
        <f>CONCATENATE(ИД!B10,ИД!C11)</f>
        <v>«Реконструкция распределительных и квартальных тепловых сетей г. Благовещенска Амурской области» Объект 8 (Тепловые сети по ул. Кантемирова от ТК-3М (смотровая) до ТК-5М L= 45,25 м D= 325 мм, L= 123,45 м D= 273 мм)</v>
      </c>
      <c r="E12" s="309"/>
      <c r="F12" s="309"/>
      <c r="G12" s="309"/>
      <c r="H12" s="309"/>
      <c r="I12" s="2"/>
    </row>
    <row r="13" spans="2:9">
      <c r="B13" s="2"/>
      <c r="C13" s="3"/>
      <c r="D13" s="303" t="s">
        <v>12</v>
      </c>
      <c r="E13" s="303"/>
      <c r="F13" s="303"/>
      <c r="G13" s="303"/>
      <c r="H13" s="303"/>
      <c r="I13" s="2"/>
    </row>
    <row r="14" spans="2:9">
      <c r="B14" s="304" t="str">
        <f>CONCATENATE("Составлен в текущем уровне цен на ",ИД!B11)</f>
        <v>Составлен в текущем уровне цен на 1 квартал 2023 г.</v>
      </c>
      <c r="C14" s="304"/>
      <c r="D14" s="304"/>
      <c r="E14" s="304"/>
      <c r="F14" s="304"/>
      <c r="G14" s="304"/>
      <c r="H14" s="304"/>
      <c r="I14" s="304"/>
    </row>
    <row r="15" spans="2:9" ht="15" customHeight="1">
      <c r="B15" s="305" t="s">
        <v>13</v>
      </c>
      <c r="C15" s="306" t="s">
        <v>67</v>
      </c>
      <c r="D15" s="305" t="s">
        <v>77</v>
      </c>
      <c r="E15" s="307" t="s">
        <v>14</v>
      </c>
      <c r="F15" s="308"/>
      <c r="G15" s="308"/>
      <c r="H15" s="308"/>
      <c r="I15" s="308"/>
    </row>
    <row r="16" spans="2:9" ht="81.75" customHeight="1">
      <c r="B16" s="305"/>
      <c r="C16" s="306"/>
      <c r="D16" s="305"/>
      <c r="E16" s="106" t="s">
        <v>78</v>
      </c>
      <c r="F16" s="106" t="s">
        <v>15</v>
      </c>
      <c r="G16" s="106" t="s">
        <v>70</v>
      </c>
      <c r="H16" s="106" t="s">
        <v>79</v>
      </c>
      <c r="I16" s="106" t="s">
        <v>18</v>
      </c>
    </row>
    <row r="17" spans="1:14">
      <c r="B17" s="49">
        <v>1</v>
      </c>
      <c r="C17" s="10">
        <v>2</v>
      </c>
      <c r="D17" s="49">
        <v>3</v>
      </c>
      <c r="E17" s="49">
        <v>4</v>
      </c>
      <c r="F17" s="49">
        <v>5</v>
      </c>
      <c r="G17" s="49">
        <v>6</v>
      </c>
      <c r="H17" s="49">
        <v>7</v>
      </c>
      <c r="I17" s="49">
        <v>8</v>
      </c>
    </row>
    <row r="18" spans="1:14" s="22" customFormat="1" ht="20.100000000000001" customHeight="1">
      <c r="A18" s="28"/>
      <c r="B18" s="299" t="s">
        <v>29</v>
      </c>
      <c r="C18" s="300"/>
      <c r="D18" s="300"/>
      <c r="E18" s="300"/>
      <c r="F18" s="300"/>
      <c r="G18" s="300"/>
      <c r="H18" s="300"/>
      <c r="I18" s="300"/>
    </row>
    <row r="19" spans="1:14" s="22" customFormat="1" ht="27.75" customHeight="1">
      <c r="A19" s="28"/>
      <c r="B19" s="48">
        <v>1</v>
      </c>
      <c r="C19" s="23" t="str">
        <f>ССРбаз!C19</f>
        <v>15-12-22-4-ООС</v>
      </c>
      <c r="D19" s="24" t="str">
        <f>ИД!B23</f>
        <v>Компенсационные выплаты за снос зеленых насаждений</v>
      </c>
      <c r="E19" s="37"/>
      <c r="F19" s="37"/>
      <c r="G19" s="37"/>
      <c r="H19" s="37">
        <f>ИД!E23</f>
        <v>276.77999999999997</v>
      </c>
      <c r="I19" s="37">
        <f>SUM(E19:H19)</f>
        <v>276.77999999999997</v>
      </c>
    </row>
    <row r="20" spans="1:14" s="22" customFormat="1" ht="22.5" customHeight="1">
      <c r="A20" s="28"/>
      <c r="B20" s="113">
        <f>B19+1</f>
        <v>2</v>
      </c>
      <c r="C20" s="23" t="str">
        <f>ССРбаз!C20</f>
        <v>ОС-01-01</v>
      </c>
      <c r="D20" s="24" t="str">
        <f>ССРбаз!D20</f>
        <v>Подготовительные работы</v>
      </c>
      <c r="E20" s="38">
        <f>'ОС-01-01тек'!E20</f>
        <v>212.79</v>
      </c>
      <c r="F20" s="38">
        <f>'ОС-01-01тек'!F20</f>
        <v>0</v>
      </c>
      <c r="G20" s="38">
        <f>'ОС-01-01тек'!G20</f>
        <v>0</v>
      </c>
      <c r="H20" s="38">
        <f>'ОС-01-01тек'!H20</f>
        <v>0</v>
      </c>
      <c r="I20" s="37">
        <f t="shared" ref="I20" si="0">SUM(E20:H20)</f>
        <v>212.79</v>
      </c>
      <c r="L20" s="224"/>
    </row>
    <row r="21" spans="1:14" s="22" customFormat="1" ht="20.100000000000001" customHeight="1">
      <c r="A21" s="28"/>
      <c r="B21" s="19"/>
      <c r="C21" s="20"/>
      <c r="D21" s="21" t="s">
        <v>33</v>
      </c>
      <c r="E21" s="18">
        <f>SUM(E19:E20)</f>
        <v>212.79</v>
      </c>
      <c r="F21" s="18">
        <f>SUM(F19:F20)</f>
        <v>0</v>
      </c>
      <c r="G21" s="18">
        <f>SUM(G19:G20)</f>
        <v>0</v>
      </c>
      <c r="H21" s="18">
        <f>SUM(H19:H20)</f>
        <v>276.77999999999997</v>
      </c>
      <c r="I21" s="18">
        <f>SUM(I19:I20)</f>
        <v>489.57</v>
      </c>
      <c r="J21" s="43" t="b">
        <f>SUM(E21:H21)=SUM(I19:I20)</f>
        <v>1</v>
      </c>
    </row>
    <row r="22" spans="1:14" s="22" customFormat="1" ht="20.100000000000001" customHeight="1">
      <c r="A22" s="28"/>
      <c r="B22" s="299" t="s">
        <v>34</v>
      </c>
      <c r="C22" s="300"/>
      <c r="D22" s="300"/>
      <c r="E22" s="300"/>
      <c r="F22" s="300"/>
      <c r="G22" s="300"/>
      <c r="H22" s="300"/>
      <c r="I22" s="300"/>
    </row>
    <row r="23" spans="1:14" s="22" customFormat="1" ht="30" customHeight="1">
      <c r="A23" s="28"/>
      <c r="B23" s="48">
        <f>B20+1</f>
        <v>3</v>
      </c>
      <c r="C23" s="23" t="str">
        <f>ССРбаз!C23</f>
        <v>ОС-02-01</v>
      </c>
      <c r="D23" s="24" t="str">
        <f>ССРбаз!D23</f>
        <v>Тепловые сети .Сети водоснабжения</v>
      </c>
      <c r="E23" s="38">
        <f>'ОС-02-01 тек'!E20</f>
        <v>15965.96</v>
      </c>
      <c r="F23" s="38">
        <f>'ОС-02-01 тек'!F20</f>
        <v>403.06</v>
      </c>
      <c r="G23" s="38">
        <f>'ОС-02-01 тек'!G20</f>
        <v>10.7</v>
      </c>
      <c r="H23" s="38"/>
      <c r="I23" s="23">
        <f>SUM(E23:H23)</f>
        <v>16379.72</v>
      </c>
      <c r="L23" s="224"/>
    </row>
    <row r="24" spans="1:14" s="22" customFormat="1" ht="20.100000000000001" customHeight="1">
      <c r="A24" s="28"/>
      <c r="B24" s="19"/>
      <c r="C24" s="20"/>
      <c r="D24" s="21" t="s">
        <v>35</v>
      </c>
      <c r="E24" s="18">
        <f>SUM(E23:E23)</f>
        <v>15965.96</v>
      </c>
      <c r="F24" s="18">
        <f>SUM(F23:F23)</f>
        <v>403.06</v>
      </c>
      <c r="G24" s="18">
        <f>SUM(G23:G23)</f>
        <v>10.7</v>
      </c>
      <c r="H24" s="18">
        <f>SUM(H23:H23)</f>
        <v>0</v>
      </c>
      <c r="I24" s="18">
        <f>SUM(I23:I23)</f>
        <v>16379.72</v>
      </c>
      <c r="J24" s="43" t="b">
        <f>SUM(E24:H24)=SUM(I23:I23)</f>
        <v>1</v>
      </c>
    </row>
    <row r="25" spans="1:14" s="22" customFormat="1" ht="20.100000000000001" customHeight="1">
      <c r="A25" s="28"/>
      <c r="B25" s="299" t="s">
        <v>83</v>
      </c>
      <c r="C25" s="300"/>
      <c r="D25" s="300"/>
      <c r="E25" s="300"/>
      <c r="F25" s="300"/>
      <c r="G25" s="300"/>
      <c r="H25" s="300"/>
      <c r="I25" s="300"/>
      <c r="J25" s="43"/>
    </row>
    <row r="26" spans="1:14" s="123" customFormat="1" ht="27.75" customHeight="1">
      <c r="A26" s="29"/>
      <c r="B26" s="135">
        <f>B23+1</f>
        <v>4</v>
      </c>
      <c r="C26" s="172" t="str">
        <f>ССРбаз!C26</f>
        <v>ЛС-07-01-01</v>
      </c>
      <c r="D26" s="171" t="str">
        <f>ССРбаз!D26</f>
        <v>Восстановление благоустройства</v>
      </c>
      <c r="E26" s="170">
        <v>2214.13</v>
      </c>
      <c r="F26" s="170">
        <v>39.880000000000003</v>
      </c>
      <c r="G26" s="170"/>
      <c r="H26" s="170"/>
      <c r="I26" s="172">
        <f>SUM(E26:H26)</f>
        <v>2254.0100000000002</v>
      </c>
      <c r="J26" s="43"/>
      <c r="L26" s="225"/>
    </row>
    <row r="27" spans="1:14" s="22" customFormat="1" ht="20.100000000000001" customHeight="1">
      <c r="A27" s="28"/>
      <c r="B27" s="19"/>
      <c r="C27" s="20"/>
      <c r="D27" s="21" t="s">
        <v>84</v>
      </c>
      <c r="E27" s="18">
        <f>SUM(E26:E26)</f>
        <v>2214.13</v>
      </c>
      <c r="F27" s="18">
        <f>SUM(F26:F26)</f>
        <v>39.880000000000003</v>
      </c>
      <c r="G27" s="18">
        <f>SUM(G26:G26)</f>
        <v>0</v>
      </c>
      <c r="H27" s="18">
        <f>SUM(H26:H26)</f>
        <v>0</v>
      </c>
      <c r="I27" s="18">
        <f>SUM(I26:I26)</f>
        <v>2254.0100000000002</v>
      </c>
      <c r="J27" s="43"/>
    </row>
    <row r="28" spans="1:14" s="1" customFormat="1" ht="20.100000000000001" customHeight="1">
      <c r="A28" s="29"/>
      <c r="B28" s="131"/>
      <c r="C28" s="17"/>
      <c r="D28" s="130" t="s">
        <v>36</v>
      </c>
      <c r="E28" s="18">
        <f>E21+E24+E27</f>
        <v>18392.88</v>
      </c>
      <c r="F28" s="18">
        <f>F21+F24+F27</f>
        <v>442.94</v>
      </c>
      <c r="G28" s="18">
        <f>G21+G24+G27</f>
        <v>10.7</v>
      </c>
      <c r="H28" s="18">
        <f>H21+H24+H27</f>
        <v>276.77999999999997</v>
      </c>
      <c r="I28" s="18">
        <f>I21+I24+I27</f>
        <v>19123.3</v>
      </c>
      <c r="J28" s="43" t="b">
        <f>SUM(E28:H28)=I24+M27+I21+I27</f>
        <v>1</v>
      </c>
      <c r="K28" s="222">
        <f>I20+I23+I26</f>
        <v>18846.52</v>
      </c>
      <c r="L28" s="222"/>
      <c r="M28" s="222"/>
      <c r="N28" s="222"/>
    </row>
    <row r="29" spans="1:14" ht="20.100000000000001" customHeight="1">
      <c r="B29" s="299" t="s">
        <v>37</v>
      </c>
      <c r="C29" s="300"/>
      <c r="D29" s="300"/>
      <c r="E29" s="300"/>
      <c r="F29" s="300"/>
      <c r="G29" s="300"/>
      <c r="H29" s="300"/>
      <c r="I29" s="300"/>
    </row>
    <row r="30" spans="1:14" ht="68.25" customHeight="1">
      <c r="A30" s="31">
        <f>ССРбаз!A30</f>
        <v>1.9199999999999998E-2</v>
      </c>
      <c r="B30" s="135">
        <f>B26+1</f>
        <v>5</v>
      </c>
      <c r="C30" s="24" t="str">
        <f>ИД!A25</f>
        <v>Методика утв. Приказом Минстрой РФ от 19.06.20г. №332/пр, Приложение 1, п.53</v>
      </c>
      <c r="D30" s="24" t="str">
        <f>ССРбаз!D30</f>
        <v>Временные здания и сооружения (Объекты непроизводственного значения:Сети газо-,тепло-, водоснабжения и водоотведения(очистные сооружения,насосные станции и т.п.) в черте города) - 2,4%х0,8=1,92%</v>
      </c>
      <c r="E30" s="23">
        <f>E28*A30</f>
        <v>353.14</v>
      </c>
      <c r="F30" s="23">
        <f>F28*A30</f>
        <v>8.5</v>
      </c>
      <c r="G30" s="23"/>
      <c r="H30" s="23"/>
      <c r="I30" s="23">
        <f>SUM(E30:H30)</f>
        <v>361.64</v>
      </c>
      <c r="J30" s="190"/>
      <c r="L30" s="190"/>
    </row>
    <row r="31" spans="1:14" ht="20.100000000000001" customHeight="1">
      <c r="B31" s="19"/>
      <c r="C31" s="20"/>
      <c r="D31" s="21" t="s">
        <v>38</v>
      </c>
      <c r="E31" s="18">
        <f>SUM(E30:E30)</f>
        <v>353.14</v>
      </c>
      <c r="F31" s="18">
        <f>SUM(F30:F30)</f>
        <v>8.5</v>
      </c>
      <c r="G31" s="18">
        <f>SUM(G30:G30)</f>
        <v>0</v>
      </c>
      <c r="H31" s="18">
        <f>SUM(H30:H30)</f>
        <v>0</v>
      </c>
      <c r="I31" s="18">
        <f>SUM(I30:I30)</f>
        <v>361.64</v>
      </c>
      <c r="J31" s="43" t="b">
        <f>SUM(E31:H31)=SUM(I30:I30)</f>
        <v>1</v>
      </c>
    </row>
    <row r="32" spans="1:14" ht="20.100000000000001" customHeight="1">
      <c r="B32" s="49"/>
      <c r="C32" s="17"/>
      <c r="D32" s="46" t="s">
        <v>39</v>
      </c>
      <c r="E32" s="18">
        <f>E28+E31</f>
        <v>18746.02</v>
      </c>
      <c r="F32" s="18">
        <f>F28+F31</f>
        <v>451.44</v>
      </c>
      <c r="G32" s="18">
        <f>G28+G31</f>
        <v>10.7</v>
      </c>
      <c r="H32" s="18">
        <f>H28+H31</f>
        <v>276.77999999999997</v>
      </c>
      <c r="I32" s="18">
        <f>I28+I31</f>
        <v>19484.939999999999</v>
      </c>
      <c r="J32" s="43" t="b">
        <f>SUM(E32:H32)=I28+I31</f>
        <v>1</v>
      </c>
    </row>
    <row r="33" spans="1:10" ht="20.100000000000001" customHeight="1">
      <c r="B33" s="299" t="s">
        <v>40</v>
      </c>
      <c r="C33" s="300"/>
      <c r="D33" s="300"/>
      <c r="E33" s="300"/>
      <c r="F33" s="300"/>
      <c r="G33" s="300"/>
      <c r="H33" s="300"/>
      <c r="I33" s="300"/>
    </row>
    <row r="34" spans="1:10" ht="27.75" customHeight="1">
      <c r="B34" s="135">
        <f>B30+1</f>
        <v>6</v>
      </c>
      <c r="C34" s="24" t="str">
        <f>ИД!A26</f>
        <v>СР-1</v>
      </c>
      <c r="D34" s="24" t="str">
        <f>CONCATENATE(ИД!B26," ","(",ИД!E26,"/",1.2,")")</f>
        <v>Стоимость размещения отходов на полигоне ТБО (2715,77/1,2)</v>
      </c>
      <c r="E34" s="23"/>
      <c r="F34" s="23"/>
      <c r="G34" s="23"/>
      <c r="H34" s="23">
        <f>ИД!E26/1.2</f>
        <v>2263.14</v>
      </c>
      <c r="I34" s="23">
        <f t="shared" ref="I34:I37" si="1">SUM(E34:H34)</f>
        <v>2263.14</v>
      </c>
    </row>
    <row r="35" spans="1:10" ht="27.75" customHeight="1">
      <c r="B35" s="135">
        <f>B34+1</f>
        <v>7</v>
      </c>
      <c r="C35" s="24" t="str">
        <f>ИД!A27</f>
        <v>15-12-22-4-ООС  таб.3.1</v>
      </c>
      <c r="D35" s="24" t="str">
        <f>ИД!B27</f>
        <v>Расчёт платы за негативное воздействие на окружающую среду (выбросы загрязняющих веществ в атмосферу)</v>
      </c>
      <c r="E35" s="23"/>
      <c r="F35" s="23"/>
      <c r="G35" s="23"/>
      <c r="H35" s="23">
        <f>ИД!E27</f>
        <v>0.52</v>
      </c>
      <c r="I35" s="23">
        <f>SUM(E35:H35)</f>
        <v>0.52</v>
      </c>
    </row>
    <row r="36" spans="1:10" s="64" customFormat="1" ht="37.5" customHeight="1">
      <c r="A36" s="29"/>
      <c r="B36" s="235">
        <f>B35+1</f>
        <v>8</v>
      </c>
      <c r="C36" s="176" t="str">
        <f>ИД!A28</f>
        <v>15-12-22-4-ООС таб.3.1</v>
      </c>
      <c r="D36" s="176" t="str">
        <f>ИД!B28</f>
        <v>Расчёт платы за негативное воздействие на окружающую среду (размещеие отходов)</v>
      </c>
      <c r="E36" s="232"/>
      <c r="F36" s="232"/>
      <c r="G36" s="232"/>
      <c r="H36" s="177">
        <f>ИД!E28</f>
        <v>398.99</v>
      </c>
      <c r="I36" s="177">
        <f t="shared" si="1"/>
        <v>398.99</v>
      </c>
    </row>
    <row r="37" spans="1:10" s="64" customFormat="1" ht="60.75" hidden="1" customHeight="1">
      <c r="A37" s="29"/>
      <c r="B37" s="200">
        <f>B36+1</f>
        <v>9</v>
      </c>
      <c r="C37" s="197" t="str">
        <f>ИД!A29</f>
        <v>Приложение №1 к договору №1428/21-ТП от 05.04.2021,счет №АS-з 1428/21 от 05.04.2021</v>
      </c>
      <c r="D37" s="197" t="str">
        <f>CONCATENATE(ИД!B29," (",ИД!E29,"/1,2/1000)")</f>
        <v>Плата за технологическое присоединение к сетям АО "ДРСК" (0/1,2/1000)</v>
      </c>
      <c r="E37" s="201"/>
      <c r="F37" s="201"/>
      <c r="G37" s="201"/>
      <c r="H37" s="198"/>
      <c r="I37" s="198">
        <f t="shared" si="1"/>
        <v>0</v>
      </c>
    </row>
    <row r="38" spans="1:10" s="64" customFormat="1" ht="26.25" customHeight="1">
      <c r="A38" s="29"/>
      <c r="B38" s="135">
        <f>B36+1</f>
        <v>9</v>
      </c>
      <c r="C38" s="171" t="str">
        <f>ИД!A30</f>
        <v>15-12-22-4-ООС  таб.3.1</v>
      </c>
      <c r="D38" s="171" t="str">
        <f>ИД!B30</f>
        <v>Расчет затрат на экологический мониторинг</v>
      </c>
      <c r="E38" s="234"/>
      <c r="F38" s="234"/>
      <c r="G38" s="234"/>
      <c r="H38" s="172">
        <f>ИД!E30</f>
        <v>10.53</v>
      </c>
      <c r="I38" s="172">
        <f>SUM(E38:H38)</f>
        <v>10.53</v>
      </c>
    </row>
    <row r="39" spans="1:10" ht="18" customHeight="1">
      <c r="B39" s="19"/>
      <c r="C39" s="20"/>
      <c r="D39" s="21" t="s">
        <v>41</v>
      </c>
      <c r="E39" s="18">
        <f>SUM(E34:E38)</f>
        <v>0</v>
      </c>
      <c r="F39" s="18">
        <f t="shared" ref="F39:I39" si="2">SUM(F34:F38)</f>
        <v>0</v>
      </c>
      <c r="G39" s="18">
        <f t="shared" si="2"/>
        <v>0</v>
      </c>
      <c r="H39" s="18">
        <f t="shared" si="2"/>
        <v>2673.18</v>
      </c>
      <c r="I39" s="18">
        <f t="shared" si="2"/>
        <v>2673.18</v>
      </c>
      <c r="J39" s="43" t="b">
        <f>SUM(E39:H39)=SUM(I34:I38)</f>
        <v>1</v>
      </c>
    </row>
    <row r="40" spans="1:10" ht="18" customHeight="1">
      <c r="B40" s="60"/>
      <c r="C40" s="17"/>
      <c r="D40" s="59" t="s">
        <v>42</v>
      </c>
      <c r="E40" s="18">
        <f>E32+E39</f>
        <v>18746.02</v>
      </c>
      <c r="F40" s="18">
        <f>F32+F39</f>
        <v>451.44</v>
      </c>
      <c r="G40" s="18">
        <f>G32+G39</f>
        <v>10.7</v>
      </c>
      <c r="H40" s="18">
        <f>H32+H39</f>
        <v>2949.96</v>
      </c>
      <c r="I40" s="18">
        <f>I32+I39</f>
        <v>22158.12</v>
      </c>
      <c r="J40" s="43" t="b">
        <f>SUM(E40:H40)=I32+I39</f>
        <v>1</v>
      </c>
    </row>
    <row r="41" spans="1:10" s="22" customFormat="1" ht="18" customHeight="1">
      <c r="B41" s="299" t="s">
        <v>54</v>
      </c>
      <c r="C41" s="300"/>
      <c r="D41" s="300"/>
      <c r="E41" s="300"/>
      <c r="F41" s="300"/>
      <c r="G41" s="300"/>
      <c r="H41" s="300"/>
      <c r="I41" s="300"/>
    </row>
    <row r="42" spans="1:10" s="22" customFormat="1" ht="38.25">
      <c r="A42" s="58">
        <f>ИД!D31%</f>
        <v>2.1399999999999999E-2</v>
      </c>
      <c r="B42" s="135">
        <f>B38+1</f>
        <v>10</v>
      </c>
      <c r="C42" s="112" t="str">
        <f>ССРбаз!C42</f>
        <v>Постановление Правительства РФ от 21.06.2010г. №468</v>
      </c>
      <c r="D42" s="42" t="str">
        <f>CONCATENATE(ИД!B31," ","-"," ",ИД!D31,ИД!E31," ","от"," ",I40)</f>
        <v>Строительный контроль - 2,14% от 22158,12</v>
      </c>
      <c r="E42" s="35"/>
      <c r="F42" s="35"/>
      <c r="G42" s="35"/>
      <c r="H42" s="38">
        <f>I40*$A$42</f>
        <v>474.18</v>
      </c>
      <c r="I42" s="38">
        <f>SUM(E42:H42)</f>
        <v>474.18</v>
      </c>
    </row>
    <row r="43" spans="1:10" s="22" customFormat="1" ht="18" customHeight="1">
      <c r="A43" s="28"/>
      <c r="B43" s="19"/>
      <c r="C43" s="20"/>
      <c r="D43" s="21" t="s">
        <v>56</v>
      </c>
      <c r="E43" s="18"/>
      <c r="F43" s="18"/>
      <c r="G43" s="18"/>
      <c r="H43" s="18">
        <f>SUM(H42:H42)</f>
        <v>474.18</v>
      </c>
      <c r="I43" s="18">
        <f>SUM(I42:I42)</f>
        <v>474.18</v>
      </c>
      <c r="J43" s="43"/>
    </row>
    <row r="44" spans="1:10" s="52" customFormat="1" ht="56.1" customHeight="1">
      <c r="A44" s="105">
        <v>2E-3</v>
      </c>
      <c r="B44" s="299" t="s">
        <v>76</v>
      </c>
      <c r="C44" s="300"/>
      <c r="D44" s="300"/>
      <c r="E44" s="300"/>
      <c r="F44" s="300"/>
      <c r="G44" s="300"/>
      <c r="H44" s="300"/>
      <c r="I44" s="300"/>
      <c r="J44" s="55"/>
    </row>
    <row r="45" spans="1:10" s="52" customFormat="1" ht="54.75" customHeight="1">
      <c r="B45" s="104">
        <f>B42+1</f>
        <v>11</v>
      </c>
      <c r="C45" s="116" t="str">
        <f>ИД!A32</f>
        <v>Методика утв. Приказом Минстрой РФ от 04.08.2020г. №421/пр п.173</v>
      </c>
      <c r="D45" s="102" t="str">
        <f>CONCATENATE(ИД!$B$32," - ",ИД!$D$32,ИД!$E$32," от ",I40,"
")</f>
        <v xml:space="preserve">Авторский надзор  - 0,2% от 22158,12
</v>
      </c>
      <c r="E45" s="51"/>
      <c r="F45" s="51"/>
      <c r="G45" s="51"/>
      <c r="H45" s="38">
        <f>I40*A44</f>
        <v>44.32</v>
      </c>
      <c r="I45" s="103">
        <f>SUM(E45:H45)</f>
        <v>44.32</v>
      </c>
      <c r="J45" s="55"/>
    </row>
    <row r="46" spans="1:10" s="52" customFormat="1" ht="42" customHeight="1">
      <c r="A46" s="50"/>
      <c r="B46" s="213">
        <f>B45+1</f>
        <v>12</v>
      </c>
      <c r="C46" s="214" t="str">
        <f>ИД!A33</f>
        <v xml:space="preserve"> Смета №1-4</v>
      </c>
      <c r="D46" s="214" t="str">
        <f>ИД!B33</f>
        <v>Расчёт стоимости выполнения изыскательских работ (в том числе инженерно-геодезические, инженерно-геологические, гидрометеорологические и экологические изыскания)</v>
      </c>
      <c r="E46" s="215"/>
      <c r="F46" s="215"/>
      <c r="G46" s="215"/>
      <c r="H46" s="216">
        <f>ИД!E33</f>
        <v>876.32</v>
      </c>
      <c r="I46" s="216">
        <f t="shared" ref="I46:I49" si="3">SUM(E46:H46)</f>
        <v>876.32</v>
      </c>
      <c r="J46" s="55"/>
    </row>
    <row r="47" spans="1:10" s="52" customFormat="1" ht="30" customHeight="1">
      <c r="A47" s="50"/>
      <c r="B47" s="213">
        <f>B46+1</f>
        <v>13</v>
      </c>
      <c r="C47" s="214" t="str">
        <f>ИД!A34</f>
        <v>Смета №5</v>
      </c>
      <c r="D47" s="214" t="str">
        <f>ИД!B34</f>
        <v>Разработка проектной документации</v>
      </c>
      <c r="E47" s="215"/>
      <c r="F47" s="215"/>
      <c r="G47" s="215"/>
      <c r="H47" s="216">
        <f>ИД!E34</f>
        <v>323.63</v>
      </c>
      <c r="I47" s="216">
        <f t="shared" si="3"/>
        <v>323.63</v>
      </c>
      <c r="J47" s="55"/>
    </row>
    <row r="48" spans="1:10" s="52" customFormat="1" ht="33" customHeight="1">
      <c r="A48" s="50"/>
      <c r="B48" s="213">
        <f>B47+1</f>
        <v>14</v>
      </c>
      <c r="C48" s="214" t="str">
        <f>ИД!A35</f>
        <v>Смета №6</v>
      </c>
      <c r="D48" s="214" t="str">
        <f>ИД!B35</f>
        <v>Разработка рабочей документации</v>
      </c>
      <c r="E48" s="215"/>
      <c r="F48" s="215"/>
      <c r="G48" s="215"/>
      <c r="H48" s="216">
        <f>ИД!E35</f>
        <v>485.45</v>
      </c>
      <c r="I48" s="216">
        <f t="shared" si="3"/>
        <v>485.45</v>
      </c>
      <c r="J48" s="55"/>
    </row>
    <row r="49" spans="1:10" s="52" customFormat="1" ht="42" customHeight="1">
      <c r="A49" s="50"/>
      <c r="B49" s="213">
        <f>B48+1</f>
        <v>15</v>
      </c>
      <c r="C49" s="214" t="str">
        <f>ИД!A36</f>
        <v>Постановление Правительства РФ №145от 05.03.2007г.</v>
      </c>
      <c r="D49" s="214" t="str">
        <f>CONCATENATE(ИД!B36," ","(",ИД!D33,"*",0.2925,"+",ИД!D34,"*",0.2925,")","*",ИД!B20)</f>
        <v>Проведение государственной экспертизы по объекту (163,49*0,2925+60,83*0,2925)*6,92</v>
      </c>
      <c r="E49" s="215"/>
      <c r="F49" s="215"/>
      <c r="G49" s="215"/>
      <c r="H49" s="216">
        <f>(ИД!D33*0.2925+ИД!D34*0.2925)*ИД!B20</f>
        <v>454.05</v>
      </c>
      <c r="I49" s="216">
        <f t="shared" si="3"/>
        <v>454.05</v>
      </c>
      <c r="J49" s="55"/>
    </row>
    <row r="50" spans="1:10" s="52" customFormat="1" ht="18" customHeight="1">
      <c r="A50" s="50"/>
      <c r="B50" s="60"/>
      <c r="C50" s="17"/>
      <c r="D50" s="21" t="s">
        <v>43</v>
      </c>
      <c r="E50" s="18">
        <f>SUM(E45:E49)</f>
        <v>0</v>
      </c>
      <c r="F50" s="18">
        <f>SUM(F45:F49)</f>
        <v>0</v>
      </c>
      <c r="G50" s="18">
        <f>SUM(G45:G49)</f>
        <v>0</v>
      </c>
      <c r="H50" s="18">
        <f>SUM(H45:H49)</f>
        <v>2183.77</v>
      </c>
      <c r="I50" s="18">
        <f>SUM(I45:I49)</f>
        <v>2183.77</v>
      </c>
      <c r="J50" s="55"/>
    </row>
    <row r="51" spans="1:10" s="22" customFormat="1" ht="18" customHeight="1">
      <c r="A51" s="28"/>
      <c r="B51" s="49"/>
      <c r="C51" s="17"/>
      <c r="D51" s="46" t="s">
        <v>44</v>
      </c>
      <c r="E51" s="18">
        <f>E40+E43+E50</f>
        <v>18746.02</v>
      </c>
      <c r="F51" s="18">
        <f>F40+F43+F50</f>
        <v>451.44</v>
      </c>
      <c r="G51" s="18">
        <f>G40+G43+G50</f>
        <v>10.7</v>
      </c>
      <c r="H51" s="18">
        <f>H40+H43+H50</f>
        <v>5607.91</v>
      </c>
      <c r="I51" s="18">
        <f>I40+I43+I50</f>
        <v>24816.07</v>
      </c>
      <c r="J51" s="43" t="b">
        <f>SUM(E51:H51)=I40+I43+I50</f>
        <v>1</v>
      </c>
    </row>
    <row r="52" spans="1:10" s="22" customFormat="1" ht="19.5" customHeight="1">
      <c r="A52" s="28"/>
      <c r="B52" s="299" t="s">
        <v>45</v>
      </c>
      <c r="C52" s="300"/>
      <c r="D52" s="300"/>
      <c r="E52" s="300"/>
      <c r="F52" s="300"/>
      <c r="G52" s="300"/>
      <c r="H52" s="300"/>
      <c r="I52" s="300"/>
    </row>
    <row r="53" spans="1:10" s="22" customFormat="1" ht="54.75" customHeight="1">
      <c r="A53" s="30">
        <f>ССРбаз!A53</f>
        <v>0.03</v>
      </c>
      <c r="B53" s="44">
        <f>B49+1</f>
        <v>16</v>
      </c>
      <c r="C53" s="24" t="str">
        <f>ИД!A37</f>
        <v>Методика утв. Приказом Минстрой РФ от 04.08.2020г. №421/пр п.179</v>
      </c>
      <c r="D53" s="47" t="s">
        <v>57</v>
      </c>
      <c r="E53" s="23">
        <f>E51*$A$53</f>
        <v>562.38</v>
      </c>
      <c r="F53" s="23">
        <f>F51*$A$53</f>
        <v>13.54</v>
      </c>
      <c r="G53" s="23">
        <f t="shared" ref="G53:H53" si="4">G51*$A$53</f>
        <v>0.32</v>
      </c>
      <c r="H53" s="23">
        <f t="shared" si="4"/>
        <v>168.24</v>
      </c>
      <c r="I53" s="23">
        <f>SUM(E53:H53)</f>
        <v>744.48</v>
      </c>
      <c r="J53" s="43"/>
    </row>
    <row r="54" spans="1:10" s="22" customFormat="1" ht="18" customHeight="1">
      <c r="A54" s="28"/>
      <c r="B54" s="35"/>
      <c r="C54" s="35"/>
      <c r="D54" s="46" t="s">
        <v>46</v>
      </c>
      <c r="E54" s="18">
        <f>E51+E53</f>
        <v>19308.400000000001</v>
      </c>
      <c r="F54" s="18">
        <f>F51+F53</f>
        <v>464.98</v>
      </c>
      <c r="G54" s="18">
        <f>G51+G53</f>
        <v>11.02</v>
      </c>
      <c r="H54" s="18">
        <f>H51+H53</f>
        <v>5776.15</v>
      </c>
      <c r="I54" s="18">
        <f>I51+I53</f>
        <v>25560.55</v>
      </c>
      <c r="J54" s="43" t="b">
        <f>SUM(E54:H54)=I51+I53</f>
        <v>1</v>
      </c>
    </row>
    <row r="55" spans="1:10" s="22" customFormat="1" ht="18" customHeight="1">
      <c r="A55" s="28"/>
      <c r="B55" s="299" t="s">
        <v>47</v>
      </c>
      <c r="C55" s="300"/>
      <c r="D55" s="300"/>
      <c r="E55" s="300"/>
      <c r="F55" s="300"/>
      <c r="G55" s="300"/>
      <c r="H55" s="300"/>
      <c r="I55" s="300"/>
    </row>
    <row r="56" spans="1:10" s="22" customFormat="1" ht="35.25" customHeight="1">
      <c r="A56" s="30">
        <v>0.2</v>
      </c>
      <c r="B56" s="179">
        <f>B53+1</f>
        <v>17</v>
      </c>
      <c r="C56" s="12" t="s">
        <v>80</v>
      </c>
      <c r="D56" s="47" t="s">
        <v>48</v>
      </c>
      <c r="E56" s="23">
        <f>E54*$A$56</f>
        <v>3861.68</v>
      </c>
      <c r="F56" s="23">
        <f t="shared" ref="F56:G56" si="5">F54*$A$56</f>
        <v>93</v>
      </c>
      <c r="G56" s="23">
        <f t="shared" si="5"/>
        <v>2.2000000000000002</v>
      </c>
      <c r="H56" s="23">
        <f>(H54)*$A$56</f>
        <v>1155.23</v>
      </c>
      <c r="I56" s="23">
        <f>SUM(E56:H56)</f>
        <v>5112.1099999999997</v>
      </c>
      <c r="J56" s="43"/>
    </row>
    <row r="57" spans="1:10" s="22" customFormat="1" ht="36.75" customHeight="1">
      <c r="A57" s="28"/>
      <c r="B57" s="25"/>
      <c r="C57" s="26"/>
      <c r="D57" s="46" t="str">
        <f>CONCATENATE("Всего по сводному сметному расчету в текущем уровне цен на ", ИД!B11)</f>
        <v>Всего по сводному сметному расчету в текущем уровне цен на 1 квартал 2023 г.</v>
      </c>
      <c r="E57" s="18">
        <f>E54+E56</f>
        <v>23170.080000000002</v>
      </c>
      <c r="F57" s="18">
        <f t="shared" ref="F57:I57" si="6">F54+F56</f>
        <v>557.98</v>
      </c>
      <c r="G57" s="18">
        <f t="shared" si="6"/>
        <v>13.22</v>
      </c>
      <c r="H57" s="18">
        <f t="shared" si="6"/>
        <v>6931.38</v>
      </c>
      <c r="I57" s="18">
        <f t="shared" si="6"/>
        <v>30672.66</v>
      </c>
      <c r="J57" s="43" t="b">
        <f>SUM(E57:H57)=I54+I56</f>
        <v>1</v>
      </c>
    </row>
    <row r="58" spans="1:10" s="203" customFormat="1" ht="18" customHeight="1">
      <c r="A58" s="208"/>
      <c r="B58" s="209"/>
      <c r="C58" s="210"/>
      <c r="D58" s="205" t="s">
        <v>113</v>
      </c>
      <c r="E58" s="27"/>
      <c r="F58" s="211"/>
      <c r="G58" s="211"/>
      <c r="H58" s="211"/>
      <c r="I58" s="27">
        <f>ИД!E40</f>
        <v>87.55</v>
      </c>
    </row>
    <row r="59" spans="1:10">
      <c r="A59" s="32"/>
      <c r="B59" s="252"/>
      <c r="C59" s="252"/>
      <c r="D59" s="255" t="s">
        <v>144</v>
      </c>
      <c r="E59" s="253"/>
      <c r="F59" s="253"/>
      <c r="G59" s="253"/>
      <c r="H59" s="253"/>
      <c r="I59" s="254">
        <f>H46+H47+H48</f>
        <v>1685.4</v>
      </c>
      <c r="J59" s="39"/>
    </row>
    <row r="60" spans="1:10">
      <c r="A60" s="32"/>
      <c r="J60" s="39"/>
    </row>
    <row r="61" spans="1:10">
      <c r="A61" s="32"/>
      <c r="C61" s="45" t="str">
        <f>CONCATENATE(ИД!$A$6,ИД!$B$5)</f>
        <v>Генеральный директор  ООО "ИВЦ "Энергоактив""</v>
      </c>
      <c r="D61" s="1"/>
      <c r="E61" s="301"/>
      <c r="F61" s="301"/>
      <c r="G61" s="301"/>
      <c r="H61" s="61" t="str">
        <f>ИД!$B$6</f>
        <v>С.В. Лопашук</v>
      </c>
      <c r="I61" s="1"/>
      <c r="J61" s="39"/>
    </row>
    <row r="62" spans="1:10">
      <c r="A62" s="32"/>
      <c r="C62" s="3"/>
      <c r="D62" s="61"/>
      <c r="E62" s="9"/>
      <c r="F62" s="9"/>
      <c r="G62" s="9"/>
      <c r="H62" s="61"/>
      <c r="I62" s="9"/>
      <c r="J62" s="39"/>
    </row>
    <row r="63" spans="1:10">
      <c r="A63" s="32"/>
      <c r="C63" s="3"/>
      <c r="D63" s="61"/>
      <c r="E63" s="9"/>
      <c r="F63" s="9"/>
      <c r="G63" s="9"/>
      <c r="H63" s="61"/>
      <c r="I63" s="9"/>
      <c r="J63" s="39"/>
    </row>
    <row r="64" spans="1:10">
      <c r="A64" s="32"/>
      <c r="C64" s="45" t="str">
        <f>CONCATENATE(ИД!$A$7,ИД!$B$5)</f>
        <v>Главный инженер проекта ООО "ИВЦ "Энергоактив""</v>
      </c>
      <c r="D64" s="1"/>
      <c r="E64" s="301"/>
      <c r="F64" s="301"/>
      <c r="G64" s="301"/>
      <c r="H64" s="123" t="str">
        <f>ИД!B7</f>
        <v>Н.В.Петров</v>
      </c>
      <c r="I64" s="1"/>
      <c r="J64" s="39"/>
    </row>
    <row r="65" spans="1:10">
      <c r="A65" s="32"/>
      <c r="C65" s="3"/>
      <c r="D65" s="61"/>
      <c r="E65" s="9"/>
      <c r="F65" s="9"/>
      <c r="G65" s="9"/>
      <c r="H65" s="61"/>
      <c r="I65" s="9"/>
      <c r="J65" s="39"/>
    </row>
    <row r="66" spans="1:10">
      <c r="A66" s="32"/>
      <c r="C66" s="3"/>
      <c r="D66" s="61"/>
      <c r="E66" s="9"/>
      <c r="F66" s="9"/>
      <c r="G66" s="9"/>
      <c r="H66" s="61"/>
      <c r="I66" s="9"/>
      <c r="J66" s="39"/>
    </row>
    <row r="67" spans="1:10">
      <c r="A67" s="32"/>
      <c r="C67" s="3" t="s">
        <v>50</v>
      </c>
      <c r="D67" s="61"/>
      <c r="E67" s="241"/>
      <c r="F67" s="241"/>
      <c r="G67" s="241"/>
      <c r="H67" s="61"/>
      <c r="I67" s="9"/>
      <c r="J67" s="39"/>
    </row>
    <row r="68" spans="1:10" ht="24.75" customHeight="1">
      <c r="A68" s="32"/>
      <c r="C68" s="302"/>
      <c r="D68" s="302"/>
      <c r="E68" s="298"/>
      <c r="F68" s="298"/>
      <c r="G68" s="298"/>
      <c r="H68" s="66"/>
      <c r="I68" s="9"/>
      <c r="J68" s="39"/>
    </row>
  </sheetData>
  <mergeCells count="25">
    <mergeCell ref="D12:H12"/>
    <mergeCell ref="D2:H2"/>
    <mergeCell ref="D3:H3"/>
    <mergeCell ref="D7:H7"/>
    <mergeCell ref="D8:H8"/>
    <mergeCell ref="D10:H10"/>
    <mergeCell ref="D13:H13"/>
    <mergeCell ref="B14:I14"/>
    <mergeCell ref="B15:B16"/>
    <mergeCell ref="C15:C16"/>
    <mergeCell ref="D15:D16"/>
    <mergeCell ref="E15:I15"/>
    <mergeCell ref="B18:I18"/>
    <mergeCell ref="B22:I22"/>
    <mergeCell ref="B55:I55"/>
    <mergeCell ref="B29:I29"/>
    <mergeCell ref="B33:I33"/>
    <mergeCell ref="B41:I41"/>
    <mergeCell ref="B52:I52"/>
    <mergeCell ref="B25:I25"/>
    <mergeCell ref="E68:G68"/>
    <mergeCell ref="B44:I44"/>
    <mergeCell ref="E61:G61"/>
    <mergeCell ref="E64:G64"/>
    <mergeCell ref="C68:D68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Zeros="0" view="pageBreakPreview" topLeftCell="A13" zoomScaleNormal="100" zoomScaleSheetLayoutView="100" workbookViewId="0">
      <selection activeCell="H11" sqref="H11"/>
    </sheetView>
  </sheetViews>
  <sheetFormatPr defaultRowHeight="15"/>
  <cols>
    <col min="1" max="1" width="7.5703125" style="56" customWidth="1"/>
    <col min="2" max="2" width="5.7109375" style="32" customWidth="1"/>
    <col min="3" max="3" width="15.7109375" style="36" customWidth="1"/>
    <col min="4" max="4" width="39.7109375" style="32" customWidth="1"/>
    <col min="5" max="5" width="16.28515625" style="32" customWidth="1"/>
    <col min="6" max="6" width="11.7109375" style="32" customWidth="1"/>
    <col min="7" max="8" width="12.7109375" style="32" customWidth="1"/>
    <col min="9" max="9" width="14.7109375" style="32" customWidth="1"/>
    <col min="10" max="16384" width="9.140625" style="32"/>
  </cols>
  <sheetData>
    <row r="1" spans="1:9" ht="27.75" customHeight="1">
      <c r="B1" s="314" t="str">
        <f>CONCATENATE(ИД!$B$10,ИД!$C$11)</f>
        <v>«Реконструкция распределительных и квартальных тепловых сетей г. Благовещенска Амурской области» Объект 8 (Тепловые сети по ул. Кантемирова от ТК-3М (смотровая) до ТК-5М L= 45,25 м D= 325 мм, L= 123,45 м D= 273 мм)</v>
      </c>
      <c r="C1" s="314"/>
      <c r="D1" s="314"/>
      <c r="E1" s="314"/>
      <c r="F1" s="314"/>
      <c r="G1" s="314"/>
      <c r="H1" s="314"/>
      <c r="I1" s="314"/>
    </row>
    <row r="2" spans="1:9" s="40" customFormat="1">
      <c r="A2" s="118"/>
      <c r="B2" s="315" t="s">
        <v>12</v>
      </c>
      <c r="C2" s="315"/>
      <c r="D2" s="315"/>
      <c r="E2" s="315"/>
      <c r="F2" s="315"/>
      <c r="G2" s="315"/>
      <c r="H2" s="315"/>
      <c r="I2" s="315"/>
    </row>
    <row r="4" spans="1:9" ht="15.75">
      <c r="B4" s="316" t="s">
        <v>87</v>
      </c>
      <c r="C4" s="316"/>
      <c r="D4" s="316"/>
      <c r="E4" s="316"/>
      <c r="F4" s="316"/>
      <c r="G4" s="316"/>
      <c r="H4" s="316"/>
      <c r="I4" s="316"/>
    </row>
    <row r="5" spans="1:9" ht="15.75">
      <c r="B5" s="316" t="str">
        <f>'ОС-01-01'!B5:I5</f>
        <v xml:space="preserve">Подготовительные работы </v>
      </c>
      <c r="C5" s="316"/>
      <c r="D5" s="316"/>
      <c r="E5" s="316"/>
      <c r="F5" s="316"/>
      <c r="G5" s="316"/>
      <c r="H5" s="316"/>
      <c r="I5" s="316"/>
    </row>
    <row r="6" spans="1:9" ht="15.75">
      <c r="B6" s="138"/>
      <c r="C6" s="138"/>
      <c r="D6" s="138"/>
      <c r="E6" s="138"/>
      <c r="F6" s="138"/>
      <c r="G6" s="138"/>
      <c r="H6" s="138"/>
      <c r="I6" s="138"/>
    </row>
    <row r="7" spans="1:9" s="67" customFormat="1" ht="13.5">
      <c r="A7" s="119"/>
      <c r="B7" s="68"/>
      <c r="C7" s="68"/>
      <c r="D7" s="317" t="s">
        <v>62</v>
      </c>
      <c r="E7" s="317"/>
      <c r="F7" s="317"/>
      <c r="G7" s="317"/>
      <c r="H7" s="317"/>
      <c r="I7" s="68"/>
    </row>
    <row r="8" spans="1:9" s="67" customFormat="1" ht="13.5">
      <c r="A8" s="119"/>
      <c r="B8" s="69"/>
      <c r="C8" s="69"/>
      <c r="D8" s="70"/>
      <c r="E8" s="69"/>
      <c r="F8" s="69"/>
      <c r="G8" s="69"/>
      <c r="H8" s="69"/>
      <c r="I8" s="69"/>
    </row>
    <row r="9" spans="1:9" s="67" customFormat="1" ht="15" customHeight="1">
      <c r="A9" s="119"/>
      <c r="B9" s="69"/>
      <c r="C9" s="68"/>
      <c r="D9" s="313" t="s">
        <v>63</v>
      </c>
      <c r="E9" s="313"/>
      <c r="F9" s="313"/>
      <c r="G9" s="313"/>
      <c r="H9" s="71">
        <f>I24</f>
        <v>6.51</v>
      </c>
      <c r="I9" s="72" t="s">
        <v>28</v>
      </c>
    </row>
    <row r="10" spans="1:9" s="67" customFormat="1" ht="36" customHeight="1">
      <c r="A10" s="119"/>
      <c r="B10" s="69"/>
      <c r="C10" s="68"/>
      <c r="D10" s="318" t="s">
        <v>64</v>
      </c>
      <c r="E10" s="318"/>
      <c r="F10" s="318"/>
      <c r="G10" s="318"/>
      <c r="H10" s="239">
        <f>ИД!F23</f>
        <v>0.16900000000000001</v>
      </c>
      <c r="I10" s="140" t="s">
        <v>142</v>
      </c>
    </row>
    <row r="11" spans="1:9" s="67" customFormat="1" ht="36" customHeight="1">
      <c r="A11" s="119"/>
      <c r="B11" s="69"/>
      <c r="C11" s="68"/>
      <c r="D11" s="318" t="s">
        <v>65</v>
      </c>
      <c r="E11" s="318"/>
      <c r="F11" s="318"/>
      <c r="G11" s="318"/>
      <c r="H11" s="73">
        <f>H9/H10*1000</f>
        <v>38520.71</v>
      </c>
      <c r="I11" s="140" t="s">
        <v>66</v>
      </c>
    </row>
    <row r="12" spans="1:9" s="75" customFormat="1" ht="13.5">
      <c r="A12" s="120"/>
      <c r="B12" s="76"/>
      <c r="C12" s="76"/>
      <c r="D12" s="76"/>
      <c r="E12" s="76"/>
      <c r="F12" s="76"/>
      <c r="G12" s="77"/>
      <c r="H12" s="76"/>
      <c r="I12" s="76"/>
    </row>
    <row r="13" spans="1:9" s="75" customFormat="1" ht="13.5">
      <c r="A13" s="120"/>
      <c r="C13" s="77"/>
      <c r="D13" s="78" t="s">
        <v>157</v>
      </c>
      <c r="E13" s="78"/>
      <c r="F13" s="78"/>
      <c r="G13" s="78"/>
      <c r="H13" s="78"/>
      <c r="I13" s="78"/>
    </row>
    <row r="14" spans="1:9" ht="15.75">
      <c r="B14" s="138"/>
      <c r="C14" s="138"/>
      <c r="D14" s="63"/>
      <c r="E14" s="63"/>
      <c r="F14" s="63"/>
      <c r="G14" s="36"/>
      <c r="H14" s="34"/>
      <c r="I14" s="138"/>
    </row>
    <row r="15" spans="1:9" ht="15" customHeight="1">
      <c r="B15" s="319" t="s">
        <v>16</v>
      </c>
      <c r="C15" s="319" t="s">
        <v>67</v>
      </c>
      <c r="D15" s="319" t="s">
        <v>68</v>
      </c>
      <c r="E15" s="319" t="s">
        <v>17</v>
      </c>
      <c r="F15" s="319"/>
      <c r="G15" s="319"/>
      <c r="H15" s="319"/>
      <c r="I15" s="319"/>
    </row>
    <row r="16" spans="1:9" ht="88.5" customHeight="1">
      <c r="B16" s="319"/>
      <c r="C16" s="319"/>
      <c r="D16" s="319"/>
      <c r="E16" s="79" t="s">
        <v>69</v>
      </c>
      <c r="F16" s="139" t="s">
        <v>15</v>
      </c>
      <c r="G16" s="139" t="s">
        <v>70</v>
      </c>
      <c r="H16" s="139" t="s">
        <v>71</v>
      </c>
      <c r="I16" s="139" t="s">
        <v>18</v>
      </c>
    </row>
    <row r="17" spans="1:9">
      <c r="B17" s="11" t="s">
        <v>19</v>
      </c>
      <c r="C17" s="11" t="s">
        <v>20</v>
      </c>
      <c r="D17" s="11" t="s">
        <v>21</v>
      </c>
      <c r="E17" s="11" t="s">
        <v>22</v>
      </c>
      <c r="F17" s="11" t="s">
        <v>23</v>
      </c>
      <c r="G17" s="11" t="s">
        <v>24</v>
      </c>
      <c r="H17" s="11" t="s">
        <v>25</v>
      </c>
      <c r="I17" s="11" t="s">
        <v>26</v>
      </c>
    </row>
    <row r="18" spans="1:9" s="83" customFormat="1" ht="27" customHeight="1">
      <c r="A18" s="121"/>
      <c r="B18" s="81">
        <v>1</v>
      </c>
      <c r="C18" s="81" t="str">
        <f>'ОС-01-01'!C18</f>
        <v>ЛС-01-01-01</v>
      </c>
      <c r="D18" s="82" t="str">
        <f>'ОС-01-01'!D18</f>
        <v>Очистка территории строительства.</v>
      </c>
      <c r="E18" s="90">
        <v>17.09</v>
      </c>
      <c r="F18" s="90"/>
      <c r="G18" s="90"/>
      <c r="H18" s="90"/>
      <c r="I18" s="97">
        <f>SUM(E18:H18)</f>
        <v>17.09</v>
      </c>
    </row>
    <row r="19" spans="1:9" s="83" customFormat="1" ht="36" customHeight="1">
      <c r="A19" s="121"/>
      <c r="B19" s="81">
        <f>B18+1</f>
        <v>2</v>
      </c>
      <c r="C19" s="81" t="str">
        <f>'ОС-01-01'!C19</f>
        <v>ЛС-01-01-02</v>
      </c>
      <c r="D19" s="82" t="str">
        <f>'ОС-01-01'!D19</f>
        <v>Разборка существующего покрытия и тротуара</v>
      </c>
      <c r="E19" s="90">
        <v>195.7</v>
      </c>
      <c r="F19" s="90"/>
      <c r="G19" s="90"/>
      <c r="H19" s="90"/>
      <c r="I19" s="97">
        <f>SUM(E19:H19)</f>
        <v>195.7</v>
      </c>
    </row>
    <row r="20" spans="1:9" s="83" customFormat="1" ht="20.100000000000001" customHeight="1">
      <c r="A20" s="56"/>
      <c r="B20" s="86"/>
      <c r="C20" s="93"/>
      <c r="D20" s="87" t="s">
        <v>60</v>
      </c>
      <c r="E20" s="91">
        <f>SUM(E18:E19)</f>
        <v>212.79</v>
      </c>
      <c r="F20" s="91">
        <f>SUM(F18:F19)</f>
        <v>0</v>
      </c>
      <c r="G20" s="91">
        <f>SUM(G18:G19)</f>
        <v>0</v>
      </c>
      <c r="H20" s="91">
        <f>SUM(H18:H19)</f>
        <v>0</v>
      </c>
      <c r="I20" s="91">
        <f>SUM(I18:I19)</f>
        <v>212.79</v>
      </c>
    </row>
    <row r="21" spans="1:9" s="83" customFormat="1" ht="92.25" customHeight="1">
      <c r="A21" s="31">
        <f>ИД!$G$25%</f>
        <v>1.9199999999999998E-2</v>
      </c>
      <c r="B21" s="86">
        <f>B19+1</f>
        <v>3</v>
      </c>
      <c r="C21" s="88" t="str">
        <f>ИД!$A$25</f>
        <v>Методика утв. Приказом Минстрой РФ от 19.06.20г. №332/пр, Приложение 1, п.53</v>
      </c>
      <c r="D21" s="89" t="str">
        <f>CONCATENATE(ИД!$B$25," - ",ИД!$D$25,ИД!$E$25,"х",ИД!$F$25,"=",ИД!$G$25,ИД!$E$25)</f>
        <v>Временные здания и сооружения (Объекты непроизводственного значения:Сети газо-,тепло-, водоснабжения и водоотведения(очистные сооружения,насосные станции и т.п.) в черте города) - 2,4%х0,8=1,92%</v>
      </c>
      <c r="E21" s="90">
        <f>E20*A21</f>
        <v>4.09</v>
      </c>
      <c r="F21" s="90">
        <f>F20*$A$21</f>
        <v>0</v>
      </c>
      <c r="G21" s="91"/>
      <c r="H21" s="91"/>
      <c r="I21" s="90">
        <f>SUM(E21:H21)</f>
        <v>4.09</v>
      </c>
    </row>
    <row r="22" spans="1:9" s="83" customFormat="1" ht="20.100000000000001" customHeight="1">
      <c r="A22" s="56"/>
      <c r="B22" s="84"/>
      <c r="C22" s="84"/>
      <c r="D22" s="87" t="s">
        <v>60</v>
      </c>
      <c r="E22" s="91">
        <f>SUM(E20:E21)</f>
        <v>216.88</v>
      </c>
      <c r="F22" s="91">
        <f>SUM(F20:F21)</f>
        <v>0</v>
      </c>
      <c r="G22" s="91">
        <f t="shared" ref="G22:H22" si="0">SUM(G20:G21)</f>
        <v>0</v>
      </c>
      <c r="H22" s="91">
        <f t="shared" si="0"/>
        <v>0</v>
      </c>
      <c r="I22" s="91">
        <f t="shared" ref="I22" si="1">SUM(I20:I21)</f>
        <v>216.88</v>
      </c>
    </row>
    <row r="23" spans="1:9" s="83" customFormat="1" ht="67.5">
      <c r="A23" s="136">
        <f>ИД!$E$37</f>
        <v>0.03</v>
      </c>
      <c r="B23" s="86">
        <f>B21+1</f>
        <v>4</v>
      </c>
      <c r="C23" s="88" t="str">
        <f>ИД!$A$37</f>
        <v>Методика утв. Приказом Минстрой РФ от 04.08.2020г. №421/пр п.179</v>
      </c>
      <c r="D23" s="89" t="str">
        <f>CONCATENATE(ИД!$B$37," - ","3%",)</f>
        <v>Непредвиденные работы и затраты - 3%</v>
      </c>
      <c r="E23" s="90">
        <f>E22*A23</f>
        <v>6.51</v>
      </c>
      <c r="F23" s="90">
        <f>F22*A23</f>
        <v>0</v>
      </c>
      <c r="G23" s="90"/>
      <c r="H23" s="90"/>
      <c r="I23" s="90">
        <f>SUM(E23:H23)</f>
        <v>6.51</v>
      </c>
    </row>
    <row r="24" spans="1:9" s="83" customFormat="1" ht="20.100000000000001" customHeight="1">
      <c r="A24" s="56"/>
      <c r="B24" s="95"/>
      <c r="C24" s="96"/>
      <c r="D24" s="95" t="s">
        <v>61</v>
      </c>
      <c r="E24" s="91">
        <f>SUM(E23:E23)</f>
        <v>6.51</v>
      </c>
      <c r="F24" s="91">
        <f>SUM(F23:F23)</f>
        <v>0</v>
      </c>
      <c r="G24" s="91">
        <f>SUM(G23:G23)</f>
        <v>0</v>
      </c>
      <c r="H24" s="91">
        <f>SUM(H23:H23)</f>
        <v>0</v>
      </c>
      <c r="I24" s="91">
        <f>SUM(I23:I23)</f>
        <v>6.51</v>
      </c>
    </row>
    <row r="26" spans="1:9" s="64" customFormat="1">
      <c r="A26" s="120"/>
      <c r="C26" s="94"/>
    </row>
    <row r="27" spans="1:9" s="64" customFormat="1">
      <c r="A27" s="120"/>
      <c r="C27" s="94"/>
      <c r="D27" s="13" t="s">
        <v>30</v>
      </c>
      <c r="G27" s="64" t="str">
        <f>ИД!B7</f>
        <v>Н.В.Петров</v>
      </c>
    </row>
    <row r="28" spans="1:9" s="64" customFormat="1">
      <c r="A28" s="120"/>
      <c r="C28" s="94"/>
      <c r="D28" s="14"/>
    </row>
    <row r="29" spans="1:9" s="64" customFormat="1">
      <c r="A29" s="120"/>
      <c r="C29" s="94"/>
      <c r="D29" s="15" t="str">
        <f>ИД!$A$8</f>
        <v>Составил</v>
      </c>
      <c r="G29" s="64" t="str">
        <f>ИД!$B$8</f>
        <v>А.В.Исаев</v>
      </c>
    </row>
    <row r="30" spans="1:9" s="64" customFormat="1">
      <c r="A30" s="120"/>
      <c r="C30" s="94"/>
      <c r="D30" s="15"/>
    </row>
    <row r="31" spans="1:9" s="64" customFormat="1">
      <c r="A31" s="120"/>
      <c r="C31" s="94"/>
      <c r="D31" s="15" t="str">
        <f>ИД!$A$9</f>
        <v>Проверил</v>
      </c>
      <c r="E31" s="65"/>
      <c r="G31" s="64" t="str">
        <f>ИД!$B$9</f>
        <v>Н.В.Петров</v>
      </c>
    </row>
    <row r="32" spans="1:9" s="64" customFormat="1">
      <c r="A32" s="120"/>
      <c r="C32" s="94"/>
      <c r="D32" s="15"/>
    </row>
    <row r="33" spans="1:5" s="64" customFormat="1">
      <c r="A33" s="120"/>
      <c r="C33" s="94"/>
      <c r="D33" s="15"/>
      <c r="E33" s="65"/>
    </row>
    <row r="34" spans="1:5" s="64" customFormat="1">
      <c r="A34" s="120"/>
      <c r="C34" s="94"/>
      <c r="D34" s="16"/>
    </row>
    <row r="35" spans="1:5" s="64" customFormat="1">
      <c r="A35" s="120"/>
      <c r="C35" s="94"/>
    </row>
  </sheetData>
  <mergeCells count="12">
    <mergeCell ref="D10:G10"/>
    <mergeCell ref="D11:G11"/>
    <mergeCell ref="B15:B16"/>
    <mergeCell ref="C15:C16"/>
    <mergeCell ref="D15:D16"/>
    <mergeCell ref="E15:I15"/>
    <mergeCell ref="D9:G9"/>
    <mergeCell ref="B1:I1"/>
    <mergeCell ref="B2:I2"/>
    <mergeCell ref="B4:I4"/>
    <mergeCell ref="B5:I5"/>
    <mergeCell ref="D7:H7"/>
  </mergeCells>
  <printOptions horizontalCentered="1"/>
  <pageMargins left="0.51181102362204722" right="0.19685039370078741" top="0.39370078740157483" bottom="0.19685039370078741" header="0.31496062992125984" footer="0.31496062992125984"/>
  <pageSetup paperSize="9" scale="7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8"/>
  <sheetViews>
    <sheetView showZeros="0" view="pageBreakPreview" topLeftCell="A10" zoomScaleNormal="100" zoomScaleSheetLayoutView="100" workbookViewId="0">
      <selection activeCell="G20" sqref="G20"/>
    </sheetView>
  </sheetViews>
  <sheetFormatPr defaultRowHeight="15"/>
  <cols>
    <col min="1" max="1" width="7.7109375" style="22" customWidth="1"/>
    <col min="2" max="2" width="5.7109375" style="32" customWidth="1"/>
    <col min="3" max="3" width="15.7109375" style="32" customWidth="1"/>
    <col min="4" max="4" width="39.7109375" style="32" customWidth="1"/>
    <col min="5" max="5" width="16.28515625" style="32" customWidth="1"/>
    <col min="6" max="6" width="11.7109375" style="32" customWidth="1"/>
    <col min="7" max="8" width="12.7109375" style="32" customWidth="1"/>
    <col min="9" max="9" width="14.7109375" style="32" customWidth="1"/>
    <col min="10" max="16384" width="9.140625" style="32"/>
  </cols>
  <sheetData>
    <row r="1" spans="1:9">
      <c r="B1" s="314" t="str">
        <f>CONCATENATE(ИД!$B$10,ИД!$C$11)</f>
        <v>«Реконструкция распределительных и квартальных тепловых сетей г. Благовещенска Амурской области» Объект 8 (Тепловые сети по ул. Кантемирова от ТК-3М (смотровая) до ТК-5М L= 45,25 м D= 325 мм, L= 123,45 м D= 273 мм)</v>
      </c>
      <c r="C1" s="314"/>
      <c r="D1" s="314"/>
      <c r="E1" s="314"/>
      <c r="F1" s="314"/>
      <c r="G1" s="314"/>
      <c r="H1" s="314"/>
      <c r="I1" s="314"/>
    </row>
    <row r="2" spans="1:9">
      <c r="B2" s="315" t="s">
        <v>12</v>
      </c>
      <c r="C2" s="315"/>
      <c r="D2" s="315"/>
      <c r="E2" s="315"/>
      <c r="F2" s="315"/>
      <c r="G2" s="315"/>
      <c r="H2" s="315"/>
      <c r="I2" s="315"/>
    </row>
    <row r="4" spans="1:9" ht="15.75">
      <c r="B4" s="316" t="s">
        <v>89</v>
      </c>
      <c r="C4" s="316"/>
      <c r="D4" s="316"/>
      <c r="E4" s="316"/>
      <c r="F4" s="316"/>
      <c r="G4" s="316"/>
      <c r="H4" s="316"/>
      <c r="I4" s="316"/>
    </row>
    <row r="5" spans="1:9" ht="15.75">
      <c r="B5" s="316" t="s">
        <v>101</v>
      </c>
      <c r="C5" s="316"/>
      <c r="D5" s="316"/>
      <c r="E5" s="316"/>
      <c r="F5" s="316"/>
      <c r="G5" s="316"/>
      <c r="H5" s="316"/>
      <c r="I5" s="316"/>
    </row>
    <row r="6" spans="1:9" ht="15.75">
      <c r="B6" s="138"/>
      <c r="C6" s="138"/>
      <c r="D6" s="138"/>
      <c r="E6" s="138"/>
      <c r="F6" s="138"/>
      <c r="G6" s="138"/>
      <c r="H6" s="138"/>
      <c r="I6" s="138"/>
    </row>
    <row r="7" spans="1:9" s="67" customFormat="1" ht="13.5">
      <c r="A7" s="122"/>
      <c r="B7" s="68"/>
      <c r="C7" s="68"/>
      <c r="D7" s="317" t="s">
        <v>62</v>
      </c>
      <c r="E7" s="317"/>
      <c r="F7" s="317"/>
      <c r="G7" s="317"/>
      <c r="H7" s="317"/>
      <c r="I7" s="68"/>
    </row>
    <row r="8" spans="1:9" s="67" customFormat="1" ht="13.5">
      <c r="A8" s="122"/>
      <c r="B8" s="69"/>
      <c r="C8" s="69"/>
      <c r="D8" s="70"/>
      <c r="E8" s="69"/>
      <c r="F8" s="69"/>
      <c r="G8" s="69"/>
      <c r="H8" s="69"/>
      <c r="I8" s="69"/>
    </row>
    <row r="9" spans="1:9" s="67" customFormat="1" ht="15" customHeight="1">
      <c r="A9" s="122"/>
      <c r="B9" s="69"/>
      <c r="C9" s="68"/>
      <c r="D9" s="313" t="s">
        <v>63</v>
      </c>
      <c r="E9" s="313"/>
      <c r="F9" s="313"/>
      <c r="G9" s="313"/>
      <c r="H9" s="71">
        <f>I28</f>
        <v>0</v>
      </c>
      <c r="I9" s="72" t="s">
        <v>28</v>
      </c>
    </row>
    <row r="10" spans="1:9" s="67" customFormat="1" ht="32.1" customHeight="1">
      <c r="A10" s="122"/>
      <c r="B10" s="69"/>
      <c r="C10" s="68"/>
      <c r="D10" s="318" t="s">
        <v>64</v>
      </c>
      <c r="E10" s="318"/>
      <c r="F10" s="318"/>
      <c r="G10" s="318"/>
      <c r="H10" s="73" t="e">
        <f>ИД!#REF!</f>
        <v>#REF!</v>
      </c>
      <c r="I10" s="99" t="e">
        <f>ИД!#REF!</f>
        <v>#REF!</v>
      </c>
    </row>
    <row r="11" spans="1:9" s="67" customFormat="1" ht="32.1" customHeight="1">
      <c r="A11" s="122"/>
      <c r="B11" s="69"/>
      <c r="C11" s="68"/>
      <c r="D11" s="318" t="s">
        <v>65</v>
      </c>
      <c r="E11" s="318"/>
      <c r="F11" s="318"/>
      <c r="G11" s="318"/>
      <c r="H11" s="73" t="e">
        <f>H9/H10*1000</f>
        <v>#REF!</v>
      </c>
      <c r="I11" s="140" t="s">
        <v>66</v>
      </c>
    </row>
    <row r="12" spans="1:9" s="75" customFormat="1" ht="13.5">
      <c r="A12" s="123"/>
      <c r="B12" s="76"/>
      <c r="C12" s="76"/>
      <c r="D12" s="76"/>
      <c r="E12" s="76"/>
      <c r="F12" s="76"/>
      <c r="G12" s="77"/>
      <c r="H12" s="76"/>
      <c r="I12" s="76"/>
    </row>
    <row r="13" spans="1:9" s="75" customFormat="1" ht="13.5">
      <c r="A13" s="123"/>
      <c r="C13" s="77"/>
      <c r="D13" s="78" t="s">
        <v>102</v>
      </c>
      <c r="E13" s="78"/>
      <c r="F13" s="78"/>
      <c r="G13" s="78"/>
      <c r="H13" s="78"/>
      <c r="I13" s="78"/>
    </row>
    <row r="14" spans="1:9" ht="15.75">
      <c r="B14" s="138"/>
      <c r="C14" s="138"/>
      <c r="D14" s="63"/>
      <c r="E14" s="63"/>
      <c r="F14" s="63"/>
      <c r="G14" s="36"/>
      <c r="H14" s="34"/>
      <c r="I14" s="138"/>
    </row>
    <row r="15" spans="1:9" ht="15" customHeight="1">
      <c r="B15" s="319" t="s">
        <v>16</v>
      </c>
      <c r="C15" s="319" t="s">
        <v>67</v>
      </c>
      <c r="D15" s="319" t="s">
        <v>68</v>
      </c>
      <c r="E15" s="319" t="s">
        <v>17</v>
      </c>
      <c r="F15" s="319"/>
      <c r="G15" s="319"/>
      <c r="H15" s="319"/>
      <c r="I15" s="319"/>
    </row>
    <row r="16" spans="1:9" ht="85.5" customHeight="1">
      <c r="B16" s="319"/>
      <c r="C16" s="319"/>
      <c r="D16" s="319"/>
      <c r="E16" s="79" t="s">
        <v>69</v>
      </c>
      <c r="F16" s="139" t="s">
        <v>15</v>
      </c>
      <c r="G16" s="139" t="s">
        <v>70</v>
      </c>
      <c r="H16" s="139" t="s">
        <v>71</v>
      </c>
      <c r="I16" s="139" t="s">
        <v>18</v>
      </c>
    </row>
    <row r="17" spans="1:9">
      <c r="B17" s="11" t="s">
        <v>19</v>
      </c>
      <c r="C17" s="11" t="s">
        <v>20</v>
      </c>
      <c r="D17" s="11" t="s">
        <v>21</v>
      </c>
      <c r="E17" s="11" t="s">
        <v>22</v>
      </c>
      <c r="F17" s="11" t="s">
        <v>23</v>
      </c>
      <c r="G17" s="11" t="s">
        <v>24</v>
      </c>
      <c r="H17" s="11" t="s">
        <v>25</v>
      </c>
      <c r="I17" s="11" t="s">
        <v>26</v>
      </c>
    </row>
    <row r="18" spans="1:9" s="75" customFormat="1" ht="20.25" customHeight="1">
      <c r="A18" s="123"/>
      <c r="B18" s="81">
        <v>1</v>
      </c>
      <c r="C18" s="81" t="s">
        <v>90</v>
      </c>
      <c r="D18" s="82" t="s">
        <v>96</v>
      </c>
      <c r="E18" s="98">
        <v>0</v>
      </c>
      <c r="F18" s="98"/>
      <c r="G18" s="98"/>
      <c r="H18" s="98"/>
      <c r="I18" s="98">
        <f>SUM(E18:H18)</f>
        <v>0</v>
      </c>
    </row>
    <row r="19" spans="1:9" s="75" customFormat="1" ht="20.25" customHeight="1">
      <c r="A19" s="123"/>
      <c r="B19" s="81">
        <f>B18+1</f>
        <v>2</v>
      </c>
      <c r="C19" s="81" t="s">
        <v>91</v>
      </c>
      <c r="D19" s="82" t="s">
        <v>97</v>
      </c>
      <c r="E19" s="98">
        <v>0</v>
      </c>
      <c r="F19" s="98"/>
      <c r="G19" s="98"/>
      <c r="H19" s="98"/>
      <c r="I19" s="98">
        <f t="shared" ref="I19:I21" si="0">SUM(E19:H19)</f>
        <v>0</v>
      </c>
    </row>
    <row r="20" spans="1:9" s="75" customFormat="1" ht="20.25" customHeight="1">
      <c r="A20" s="123"/>
      <c r="B20" s="81">
        <f t="shared" ref="B20:B21" si="1">B19+1</f>
        <v>3</v>
      </c>
      <c r="C20" s="81" t="s">
        <v>92</v>
      </c>
      <c r="D20" s="82" t="s">
        <v>95</v>
      </c>
      <c r="E20" s="98">
        <v>0</v>
      </c>
      <c r="F20" s="98">
        <v>0</v>
      </c>
      <c r="G20" s="98"/>
      <c r="H20" s="98"/>
      <c r="I20" s="98">
        <f t="shared" si="0"/>
        <v>0</v>
      </c>
    </row>
    <row r="21" spans="1:9" s="75" customFormat="1" ht="20.25" customHeight="1">
      <c r="A21" s="123"/>
      <c r="B21" s="81">
        <f t="shared" si="1"/>
        <v>4</v>
      </c>
      <c r="C21" s="81" t="s">
        <v>93</v>
      </c>
      <c r="D21" s="82" t="s">
        <v>99</v>
      </c>
      <c r="E21" s="98">
        <v>0</v>
      </c>
      <c r="F21" s="98">
        <v>0</v>
      </c>
      <c r="G21" s="98">
        <v>0</v>
      </c>
      <c r="H21" s="98"/>
      <c r="I21" s="98">
        <f t="shared" si="0"/>
        <v>0</v>
      </c>
    </row>
    <row r="22" spans="1:9" s="128" customFormat="1" ht="15" customHeight="1">
      <c r="A22" s="124"/>
      <c r="B22" s="125"/>
      <c r="C22" s="125"/>
      <c r="D22" s="126" t="s">
        <v>60</v>
      </c>
      <c r="E22" s="127">
        <f>SUM(E18:E21)</f>
        <v>0</v>
      </c>
      <c r="F22" s="127">
        <f>SUM(F18:F21)</f>
        <v>0</v>
      </c>
      <c r="G22" s="127">
        <f>SUM(G18:G21)</f>
        <v>0</v>
      </c>
      <c r="H22" s="127">
        <f>SUM(H18:H21)</f>
        <v>0</v>
      </c>
      <c r="I22" s="127">
        <f>SUM(I18:I21)</f>
        <v>0</v>
      </c>
    </row>
    <row r="23" spans="1:9" s="83" customFormat="1" ht="81">
      <c r="A23" s="31">
        <f>ИД!$G$25%</f>
        <v>1.9199999999999998E-2</v>
      </c>
      <c r="B23" s="86">
        <f>B21+1</f>
        <v>5</v>
      </c>
      <c r="C23" s="129" t="str">
        <f>ИД!$A$25</f>
        <v>Методика утв. Приказом Минстрой РФ от 19.06.20г. №332/пр, Приложение 1, п.53</v>
      </c>
      <c r="D23" s="89" t="str">
        <f>CONCATENATE(ИД!$B$25," - ",ИД!$D$25,ИД!$E$25,"х",ИД!$F$25,"=",ИД!$G$25,ИД!$E$25)</f>
        <v>Временные здания и сооружения (Объекты непроизводственного значения:Сети газо-,тепло-, водоснабжения и водоотведения(очистные сооружения,насосные станции и т.п.) в черте города) - 2,4%х0,8=1,92%</v>
      </c>
      <c r="E23" s="90">
        <f>E22*$A$23</f>
        <v>0</v>
      </c>
      <c r="F23" s="90">
        <f>F22*A23</f>
        <v>0</v>
      </c>
      <c r="G23" s="90"/>
      <c r="H23" s="91"/>
      <c r="I23" s="90">
        <f>SUM(E23:H23)</f>
        <v>0</v>
      </c>
    </row>
    <row r="24" spans="1:9" s="83" customFormat="1" ht="18" customHeight="1">
      <c r="A24" s="22"/>
      <c r="B24" s="84"/>
      <c r="C24" s="84"/>
      <c r="D24" s="87" t="s">
        <v>60</v>
      </c>
      <c r="E24" s="91">
        <f>SUM(E22:E23)</f>
        <v>0</v>
      </c>
      <c r="F24" s="91">
        <f t="shared" ref="F24:I24" si="2">SUM(F22:F23)</f>
        <v>0</v>
      </c>
      <c r="G24" s="91">
        <f t="shared" si="2"/>
        <v>0</v>
      </c>
      <c r="H24" s="91">
        <f t="shared" si="2"/>
        <v>0</v>
      </c>
      <c r="I24" s="91">
        <f t="shared" si="2"/>
        <v>0</v>
      </c>
    </row>
    <row r="25" spans="1:9" s="83" customFormat="1" ht="13.5">
      <c r="A25" s="167">
        <v>0.1125</v>
      </c>
      <c r="B25" s="86">
        <f>B23+1</f>
        <v>6</v>
      </c>
      <c r="C25" s="88" t="e">
        <f>ИД!#REF!</f>
        <v>#REF!</v>
      </c>
      <c r="D25" s="92" t="e">
        <f>CONCATENATE(ИД!#REF!," - ",ИД!#REF!,ИД!#REF!,"*",0.9,"=",11.25,"%")</f>
        <v>#REF!</v>
      </c>
      <c r="E25" s="90">
        <f>E24*A25</f>
        <v>0</v>
      </c>
      <c r="F25" s="137">
        <f>F24*A25</f>
        <v>0</v>
      </c>
      <c r="G25" s="84"/>
      <c r="H25" s="84"/>
      <c r="I25" s="90">
        <f>SUM(E25:H25)</f>
        <v>0</v>
      </c>
    </row>
    <row r="26" spans="1:9" s="83" customFormat="1" ht="18" customHeight="1">
      <c r="A26" s="28"/>
      <c r="B26" s="86"/>
      <c r="C26" s="93"/>
      <c r="D26" s="87" t="s">
        <v>60</v>
      </c>
      <c r="E26" s="91">
        <f>SUM(E24:E25)</f>
        <v>0</v>
      </c>
      <c r="F26" s="91">
        <f>SUM(F24:F25)</f>
        <v>0</v>
      </c>
      <c r="G26" s="91">
        <f>SUM(G24:G25)</f>
        <v>0</v>
      </c>
      <c r="H26" s="91">
        <f>SUM(H24:H25)</f>
        <v>0</v>
      </c>
      <c r="I26" s="91">
        <f>SUM(I24:I25)</f>
        <v>0</v>
      </c>
    </row>
    <row r="27" spans="1:9" s="83" customFormat="1" ht="60">
      <c r="A27" s="31">
        <f>ИД!$E$37</f>
        <v>0.03</v>
      </c>
      <c r="B27" s="86">
        <f>B25+1</f>
        <v>7</v>
      </c>
      <c r="C27" s="129" t="str">
        <f>ИД!$A$37</f>
        <v>Методика утв. Приказом Минстрой РФ от 04.08.2020г. №421/пр п.179</v>
      </c>
      <c r="D27" s="89" t="str">
        <f>CONCATENATE(ИД!$B$37," - ","1,5%",)</f>
        <v>Непредвиденные работы и затраты - 1,5%</v>
      </c>
      <c r="E27" s="90">
        <f>E26*$A$27</f>
        <v>0</v>
      </c>
      <c r="F27" s="90">
        <f t="shared" ref="F27:H27" si="3">F26*$A$27</f>
        <v>0</v>
      </c>
      <c r="G27" s="90">
        <f>G26*$A$27</f>
        <v>0</v>
      </c>
      <c r="H27" s="90">
        <f t="shared" si="3"/>
        <v>0</v>
      </c>
      <c r="I27" s="90">
        <f>SUM(E27:H27)</f>
        <v>0</v>
      </c>
    </row>
    <row r="28" spans="1:9" s="83" customFormat="1" ht="20.100000000000001" customHeight="1">
      <c r="A28" s="22"/>
      <c r="B28" s="95"/>
      <c r="C28" s="95"/>
      <c r="D28" s="95" t="s">
        <v>61</v>
      </c>
      <c r="E28" s="100">
        <f>SUM(E26:E27)</f>
        <v>0</v>
      </c>
      <c r="F28" s="100">
        <f t="shared" ref="F28:I28" si="4">SUM(F26:F27)</f>
        <v>0</v>
      </c>
      <c r="G28" s="100">
        <f t="shared" si="4"/>
        <v>0</v>
      </c>
      <c r="H28" s="100">
        <f t="shared" si="4"/>
        <v>0</v>
      </c>
      <c r="I28" s="100">
        <f t="shared" si="4"/>
        <v>0</v>
      </c>
    </row>
    <row r="29" spans="1:9" s="22" customFormat="1" ht="12.75"/>
    <row r="31" spans="1:9" s="64" customFormat="1">
      <c r="A31" s="123"/>
      <c r="D31" s="13" t="s">
        <v>30</v>
      </c>
      <c r="G31" s="64" t="str">
        <f>ИД!$B$7</f>
        <v>Н.В.Петров</v>
      </c>
    </row>
    <row r="32" spans="1:9" s="64" customFormat="1">
      <c r="A32" s="123"/>
      <c r="D32" s="14"/>
    </row>
    <row r="33" spans="1:7" s="64" customFormat="1">
      <c r="A33" s="123"/>
      <c r="D33" s="64" t="e">
        <f>ИД!#REF!</f>
        <v>#REF!</v>
      </c>
      <c r="G33" s="64" t="e">
        <f>ИД!#REF!</f>
        <v>#REF!</v>
      </c>
    </row>
    <row r="34" spans="1:7" s="64" customFormat="1">
      <c r="A34" s="123"/>
      <c r="D34" s="15"/>
    </row>
    <row r="35" spans="1:7" s="64" customFormat="1">
      <c r="A35" s="123"/>
      <c r="D35" s="15" t="str">
        <f>ИД!$A$8</f>
        <v>Составил</v>
      </c>
      <c r="G35" s="64" t="str">
        <f>ИД!$B$8</f>
        <v>А.В.Исаев</v>
      </c>
    </row>
    <row r="36" spans="1:7" s="64" customFormat="1">
      <c r="A36" s="123"/>
      <c r="D36" s="15"/>
    </row>
    <row r="37" spans="1:7" s="64" customFormat="1">
      <c r="A37" s="123"/>
      <c r="D37" s="15" t="str">
        <f>ИД!$A$9</f>
        <v>Проверил</v>
      </c>
      <c r="E37" s="65"/>
      <c r="G37" s="64" t="str">
        <f>ИД!$B$9</f>
        <v>Н.В.Петров</v>
      </c>
    </row>
    <row r="38" spans="1:7" s="64" customFormat="1">
      <c r="A38" s="123"/>
      <c r="D38" s="16"/>
    </row>
  </sheetData>
  <mergeCells count="12">
    <mergeCell ref="D10:G10"/>
    <mergeCell ref="D11:G11"/>
    <mergeCell ref="B15:B16"/>
    <mergeCell ref="C15:C16"/>
    <mergeCell ref="D15:D16"/>
    <mergeCell ref="E15:I15"/>
    <mergeCell ref="D9:G9"/>
    <mergeCell ref="B1:I1"/>
    <mergeCell ref="B2:I2"/>
    <mergeCell ref="B4:I4"/>
    <mergeCell ref="B5:I5"/>
    <mergeCell ref="D7:H7"/>
  </mergeCells>
  <printOptions horizontalCentered="1"/>
  <pageMargins left="0.51181102362204722" right="0.19685039370078741" top="0.39370078740157483" bottom="0.19685039370078741" header="0.31496062992125984" footer="0.31496062992125984"/>
  <pageSetup paperSize="9" scale="74" orientation="portrait" r:id="rId1"/>
  <drawing r:id="rId2"/>
  <legacyDrawing r:id="rId3"/>
  <oleObjects>
    <mc:AlternateContent xmlns:mc="http://schemas.openxmlformats.org/markup-compatibility/2006">
      <mc:Choice Requires="x14">
        <oleObject progId="Visio.Drawing.11" shapeId="12289" r:id="rId4">
          <objectPr defaultSize="0" autoPict="0" r:id="rId5">
            <anchor moveWithCells="1" sizeWithCells="1">
              <from>
                <xdr:col>4</xdr:col>
                <xdr:colOff>361950</xdr:colOff>
                <xdr:row>33</xdr:row>
                <xdr:rowOff>104775</xdr:rowOff>
              </from>
              <to>
                <xdr:col>4</xdr:col>
                <xdr:colOff>904875</xdr:colOff>
                <xdr:row>35</xdr:row>
                <xdr:rowOff>95250</xdr:rowOff>
              </to>
            </anchor>
          </objectPr>
        </oleObject>
      </mc:Choice>
      <mc:Fallback>
        <oleObject progId="Visio.Drawing.11" shapeId="12289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view="pageBreakPreview" topLeftCell="A7" zoomScaleNormal="100" zoomScaleSheetLayoutView="100" workbookViewId="0">
      <selection activeCell="H11" sqref="H11"/>
    </sheetView>
  </sheetViews>
  <sheetFormatPr defaultRowHeight="15"/>
  <cols>
    <col min="1" max="1" width="7.5703125" style="56" customWidth="1"/>
    <col min="2" max="2" width="5.7109375" style="32" customWidth="1"/>
    <col min="3" max="3" width="15.7109375" style="36" customWidth="1"/>
    <col min="4" max="4" width="39.7109375" style="32" customWidth="1"/>
    <col min="5" max="5" width="16.28515625" style="32" customWidth="1"/>
    <col min="6" max="6" width="11.7109375" style="32" customWidth="1"/>
    <col min="7" max="8" width="12.7109375" style="32" customWidth="1"/>
    <col min="9" max="9" width="14.7109375" style="32" customWidth="1"/>
    <col min="10" max="16384" width="9.140625" style="32"/>
  </cols>
  <sheetData>
    <row r="1" spans="1:9" ht="27.75" customHeight="1">
      <c r="B1" s="314" t="str">
        <f>CONCATENATE(ИД!$B$10,ИД!$C$11)</f>
        <v>«Реконструкция распределительных и квартальных тепловых сетей г. Благовещенска Амурской области» Объект 8 (Тепловые сети по ул. Кантемирова от ТК-3М (смотровая) до ТК-5М L= 45,25 м D= 325 мм, L= 123,45 м D= 273 мм)</v>
      </c>
      <c r="C1" s="314"/>
      <c r="D1" s="314"/>
      <c r="E1" s="314"/>
      <c r="F1" s="314"/>
      <c r="G1" s="314"/>
      <c r="H1" s="314"/>
      <c r="I1" s="314"/>
    </row>
    <row r="2" spans="1:9" s="40" customFormat="1">
      <c r="A2" s="118"/>
      <c r="B2" s="315" t="s">
        <v>12</v>
      </c>
      <c r="C2" s="315"/>
      <c r="D2" s="315"/>
      <c r="E2" s="315"/>
      <c r="F2" s="315"/>
      <c r="G2" s="315"/>
      <c r="H2" s="315"/>
      <c r="I2" s="315"/>
    </row>
    <row r="4" spans="1:9" ht="15.75">
      <c r="B4" s="316" t="s">
        <v>176</v>
      </c>
      <c r="C4" s="316"/>
      <c r="D4" s="316"/>
      <c r="E4" s="316"/>
      <c r="F4" s="316"/>
      <c r="G4" s="316"/>
      <c r="H4" s="316"/>
      <c r="I4" s="316"/>
    </row>
    <row r="5" spans="1:9" ht="15.75">
      <c r="B5" s="316" t="str">
        <f>'ОС-01-02'!B5:I5</f>
        <v>Основные объекты строительства</v>
      </c>
      <c r="C5" s="316"/>
      <c r="D5" s="316"/>
      <c r="E5" s="316"/>
      <c r="F5" s="316"/>
      <c r="G5" s="316"/>
      <c r="H5" s="316"/>
      <c r="I5" s="316"/>
    </row>
    <row r="6" spans="1:9" ht="15.75">
      <c r="B6" s="263"/>
      <c r="C6" s="263"/>
      <c r="D6" s="263"/>
      <c r="E6" s="263"/>
      <c r="F6" s="263"/>
      <c r="G6" s="263"/>
      <c r="H6" s="263"/>
      <c r="I6" s="263"/>
    </row>
    <row r="7" spans="1:9" s="67" customFormat="1" ht="13.5">
      <c r="A7" s="119"/>
      <c r="B7" s="68"/>
      <c r="C7" s="68"/>
      <c r="D7" s="317" t="s">
        <v>62</v>
      </c>
      <c r="E7" s="317"/>
      <c r="F7" s="317"/>
      <c r="G7" s="317"/>
      <c r="H7" s="317"/>
      <c r="I7" s="68"/>
    </row>
    <row r="8" spans="1:9" s="67" customFormat="1" ht="13.5">
      <c r="A8" s="119"/>
      <c r="B8" s="69"/>
      <c r="C8" s="69"/>
      <c r="D8" s="70"/>
      <c r="E8" s="69"/>
      <c r="F8" s="69"/>
      <c r="G8" s="69"/>
      <c r="H8" s="69"/>
      <c r="I8" s="69"/>
    </row>
    <row r="9" spans="1:9" s="67" customFormat="1" ht="15" customHeight="1">
      <c r="A9" s="119"/>
      <c r="B9" s="69"/>
      <c r="C9" s="68"/>
      <c r="D9" s="313" t="s">
        <v>63</v>
      </c>
      <c r="E9" s="313"/>
      <c r="F9" s="313"/>
      <c r="G9" s="313"/>
      <c r="H9" s="71">
        <f>I24</f>
        <v>500.82</v>
      </c>
      <c r="I9" s="72" t="s">
        <v>28</v>
      </c>
    </row>
    <row r="10" spans="1:9" s="67" customFormat="1" ht="36" customHeight="1">
      <c r="A10" s="119"/>
      <c r="B10" s="69"/>
      <c r="C10" s="68"/>
      <c r="D10" s="318" t="s">
        <v>64</v>
      </c>
      <c r="E10" s="318"/>
      <c r="F10" s="318"/>
      <c r="G10" s="318"/>
      <c r="H10" s="239">
        <f>ИД!F23</f>
        <v>0.16900000000000001</v>
      </c>
      <c r="I10" s="264" t="s">
        <v>142</v>
      </c>
    </row>
    <row r="11" spans="1:9" s="67" customFormat="1" ht="36" customHeight="1">
      <c r="A11" s="119"/>
      <c r="B11" s="69"/>
      <c r="C11" s="68"/>
      <c r="D11" s="318" t="s">
        <v>65</v>
      </c>
      <c r="E11" s="318"/>
      <c r="F11" s="318"/>
      <c r="G11" s="318"/>
      <c r="H11" s="73">
        <f>H9/H10*1000</f>
        <v>2963431.95</v>
      </c>
      <c r="I11" s="264" t="s">
        <v>66</v>
      </c>
    </row>
    <row r="12" spans="1:9" s="75" customFormat="1" ht="13.5">
      <c r="A12" s="120"/>
      <c r="B12" s="76"/>
      <c r="C12" s="76"/>
      <c r="D12" s="76"/>
      <c r="E12" s="76"/>
      <c r="F12" s="76"/>
      <c r="G12" s="77"/>
      <c r="H12" s="76"/>
      <c r="I12" s="76"/>
    </row>
    <row r="13" spans="1:9" s="75" customFormat="1" ht="13.5">
      <c r="A13" s="120"/>
      <c r="C13" s="77"/>
      <c r="D13" s="78" t="s">
        <v>157</v>
      </c>
      <c r="E13" s="78"/>
      <c r="F13" s="78"/>
      <c r="G13" s="78"/>
      <c r="H13" s="78"/>
      <c r="I13" s="78"/>
    </row>
    <row r="14" spans="1:9" ht="15.75">
      <c r="B14" s="263"/>
      <c r="C14" s="263"/>
      <c r="D14" s="63"/>
      <c r="E14" s="63"/>
      <c r="F14" s="63"/>
      <c r="G14" s="36"/>
      <c r="H14" s="34"/>
      <c r="I14" s="263"/>
    </row>
    <row r="15" spans="1:9" ht="15" customHeight="1">
      <c r="B15" s="319" t="s">
        <v>16</v>
      </c>
      <c r="C15" s="319" t="s">
        <v>67</v>
      </c>
      <c r="D15" s="319" t="s">
        <v>68</v>
      </c>
      <c r="E15" s="319" t="s">
        <v>17</v>
      </c>
      <c r="F15" s="319"/>
      <c r="G15" s="319"/>
      <c r="H15" s="319"/>
      <c r="I15" s="319"/>
    </row>
    <row r="16" spans="1:9" ht="88.5" customHeight="1">
      <c r="B16" s="319"/>
      <c r="C16" s="319"/>
      <c r="D16" s="319"/>
      <c r="E16" s="79" t="s">
        <v>69</v>
      </c>
      <c r="F16" s="262" t="s">
        <v>15</v>
      </c>
      <c r="G16" s="262" t="s">
        <v>70</v>
      </c>
      <c r="H16" s="262" t="s">
        <v>71</v>
      </c>
      <c r="I16" s="262" t="s">
        <v>18</v>
      </c>
    </row>
    <row r="17" spans="1:9">
      <c r="B17" s="11" t="s">
        <v>19</v>
      </c>
      <c r="C17" s="11" t="s">
        <v>20</v>
      </c>
      <c r="D17" s="11" t="s">
        <v>21</v>
      </c>
      <c r="E17" s="11" t="s">
        <v>22</v>
      </c>
      <c r="F17" s="11" t="s">
        <v>23</v>
      </c>
      <c r="G17" s="11" t="s">
        <v>24</v>
      </c>
      <c r="H17" s="11" t="s">
        <v>25</v>
      </c>
      <c r="I17" s="11" t="s">
        <v>26</v>
      </c>
    </row>
    <row r="18" spans="1:9" s="83" customFormat="1" ht="27" customHeight="1">
      <c r="A18" s="121"/>
      <c r="B18" s="81">
        <v>1</v>
      </c>
      <c r="C18" s="81" t="str">
        <f>'ОС-01-02'!C18</f>
        <v>ЛС-02-01-01</v>
      </c>
      <c r="D18" s="82" t="str">
        <f>'ОС-01-02'!D18</f>
        <v>Тепловые сети</v>
      </c>
      <c r="E18" s="90">
        <v>15226.88</v>
      </c>
      <c r="F18" s="90">
        <v>403.06</v>
      </c>
      <c r="G18" s="90">
        <v>10.7</v>
      </c>
      <c r="H18" s="90"/>
      <c r="I18" s="97">
        <f>SUM(E18:H18)</f>
        <v>15640.64</v>
      </c>
    </row>
    <row r="19" spans="1:9" s="83" customFormat="1" ht="36" customHeight="1">
      <c r="A19" s="121"/>
      <c r="B19" s="81">
        <f>B18+1</f>
        <v>2</v>
      </c>
      <c r="C19" s="81" t="str">
        <f>'ОС-01-02'!C19</f>
        <v>ЛС-02-01-02</v>
      </c>
      <c r="D19" s="82" t="str">
        <f>'ОС-01-02'!D19</f>
        <v>Сети водоснабжения</v>
      </c>
      <c r="E19" s="90">
        <v>739.08</v>
      </c>
      <c r="F19" s="90"/>
      <c r="G19" s="90"/>
      <c r="H19" s="90"/>
      <c r="I19" s="97">
        <f>SUM(E19:H19)</f>
        <v>739.08</v>
      </c>
    </row>
    <row r="20" spans="1:9" s="83" customFormat="1" ht="20.100000000000001" customHeight="1">
      <c r="A20" s="56"/>
      <c r="B20" s="86"/>
      <c r="C20" s="93"/>
      <c r="D20" s="87" t="s">
        <v>60</v>
      </c>
      <c r="E20" s="91">
        <f>SUM(E18:E19)</f>
        <v>15965.96</v>
      </c>
      <c r="F20" s="91">
        <f t="shared" ref="F20:I20" si="0">SUM(F18:F19)</f>
        <v>403.06</v>
      </c>
      <c r="G20" s="91">
        <f t="shared" si="0"/>
        <v>10.7</v>
      </c>
      <c r="H20" s="91">
        <f t="shared" si="0"/>
        <v>0</v>
      </c>
      <c r="I20" s="91">
        <f t="shared" si="0"/>
        <v>16379.72</v>
      </c>
    </row>
    <row r="21" spans="1:9" s="83" customFormat="1" ht="92.25" customHeight="1">
      <c r="A21" s="31">
        <f>ИД!$G$25%</f>
        <v>1.9199999999999998E-2</v>
      </c>
      <c r="B21" s="86">
        <f>B19+1</f>
        <v>3</v>
      </c>
      <c r="C21" s="88" t="str">
        <f>ИД!$A$25</f>
        <v>Методика утв. Приказом Минстрой РФ от 19.06.20г. №332/пр, Приложение 1, п.53</v>
      </c>
      <c r="D21" s="89" t="str">
        <f>CONCATENATE(ИД!$B$25," - ",ИД!$D$25,ИД!$E$25,"х",ИД!$F$25,"=",ИД!$G$25,ИД!$E$25)</f>
        <v>Временные здания и сооружения (Объекты непроизводственного значения:Сети газо-,тепло-, водоснабжения и водоотведения(очистные сооружения,насосные станции и т.п.) в черте города) - 2,4%х0,8=1,92%</v>
      </c>
      <c r="E21" s="90">
        <f>E20*A21</f>
        <v>306.55</v>
      </c>
      <c r="F21" s="90">
        <f>F20*$A$21</f>
        <v>7.74</v>
      </c>
      <c r="G21" s="91"/>
      <c r="H21" s="91"/>
      <c r="I21" s="90">
        <f>SUM(E21:H21)</f>
        <v>314.29000000000002</v>
      </c>
    </row>
    <row r="22" spans="1:9" s="83" customFormat="1" ht="20.100000000000001" customHeight="1">
      <c r="A22" s="56"/>
      <c r="B22" s="84"/>
      <c r="C22" s="84"/>
      <c r="D22" s="87" t="s">
        <v>60</v>
      </c>
      <c r="E22" s="91">
        <f>SUM(E20:E21)</f>
        <v>16272.51</v>
      </c>
      <c r="F22" s="91">
        <f>SUM(F20:F21)</f>
        <v>410.8</v>
      </c>
      <c r="G22" s="91">
        <f>SUM(G20:G21)</f>
        <v>10.7</v>
      </c>
      <c r="H22" s="91">
        <f t="shared" ref="G22:I22" si="1">SUM(H20:H21)</f>
        <v>0</v>
      </c>
      <c r="I22" s="91">
        <f t="shared" si="1"/>
        <v>16694.009999999998</v>
      </c>
    </row>
    <row r="23" spans="1:9" s="83" customFormat="1" ht="67.5">
      <c r="A23" s="136">
        <f>ИД!$E$37</f>
        <v>0.03</v>
      </c>
      <c r="B23" s="86">
        <f>B21+1</f>
        <v>4</v>
      </c>
      <c r="C23" s="88" t="str">
        <f>ИД!$A$37</f>
        <v>Методика утв. Приказом Минстрой РФ от 04.08.2020г. №421/пр п.179</v>
      </c>
      <c r="D23" s="89" t="str">
        <f>CONCATENATE(ИД!$B$37," - ","3%",)</f>
        <v>Непредвиденные работы и затраты - 3%</v>
      </c>
      <c r="E23" s="90">
        <f>E22*A23</f>
        <v>488.18</v>
      </c>
      <c r="F23" s="90">
        <f>F22*A23</f>
        <v>12.32</v>
      </c>
      <c r="G23" s="90">
        <f>G22*A23</f>
        <v>0.32</v>
      </c>
      <c r="H23" s="90"/>
      <c r="I23" s="90">
        <f>SUM(E23:H23)</f>
        <v>500.82</v>
      </c>
    </row>
    <row r="24" spans="1:9" s="83" customFormat="1" ht="20.100000000000001" customHeight="1">
      <c r="A24" s="56"/>
      <c r="B24" s="95"/>
      <c r="C24" s="96"/>
      <c r="D24" s="95" t="s">
        <v>61</v>
      </c>
      <c r="E24" s="91">
        <f>SUM(E22:E23)</f>
        <v>16760.689999999999</v>
      </c>
      <c r="F24" s="91">
        <f>SUM(F22:F23)</f>
        <v>423.12</v>
      </c>
      <c r="G24" s="91">
        <f>SUM(G22:G23)</f>
        <v>11.02</v>
      </c>
      <c r="H24" s="91">
        <f>SUM(H22:H23)</f>
        <v>0</v>
      </c>
      <c r="I24" s="91">
        <f>SUM(I23:I23)</f>
        <v>500.82</v>
      </c>
    </row>
    <row r="26" spans="1:9" s="64" customFormat="1">
      <c r="A26" s="120"/>
      <c r="C26" s="94"/>
    </row>
    <row r="27" spans="1:9" s="64" customFormat="1">
      <c r="A27" s="120"/>
      <c r="C27" s="94"/>
      <c r="D27" s="13" t="s">
        <v>30</v>
      </c>
      <c r="G27" s="64" t="str">
        <f>ИД!B7</f>
        <v>Н.В.Петров</v>
      </c>
    </row>
    <row r="28" spans="1:9" s="64" customFormat="1">
      <c r="A28" s="120"/>
      <c r="C28" s="94"/>
      <c r="D28" s="14"/>
    </row>
    <row r="29" spans="1:9" s="64" customFormat="1">
      <c r="A29" s="120"/>
      <c r="C29" s="94"/>
      <c r="D29" s="15" t="str">
        <f>ИД!$A$8</f>
        <v>Составил</v>
      </c>
      <c r="G29" s="64" t="str">
        <f>ИД!$B$8</f>
        <v>А.В.Исаев</v>
      </c>
    </row>
    <row r="30" spans="1:9" s="64" customFormat="1">
      <c r="A30" s="120"/>
      <c r="C30" s="94"/>
      <c r="D30" s="15"/>
    </row>
    <row r="31" spans="1:9" s="64" customFormat="1">
      <c r="A31" s="120"/>
      <c r="C31" s="94"/>
      <c r="D31" s="15" t="str">
        <f>ИД!$A$9</f>
        <v>Проверил</v>
      </c>
      <c r="E31" s="65"/>
      <c r="G31" s="64" t="str">
        <f>ИД!$B$9</f>
        <v>Н.В.Петров</v>
      </c>
    </row>
    <row r="32" spans="1:9" s="64" customFormat="1">
      <c r="A32" s="120"/>
      <c r="C32" s="94"/>
      <c r="D32" s="15"/>
    </row>
    <row r="33" spans="1:5" s="64" customFormat="1">
      <c r="A33" s="120"/>
      <c r="C33" s="94"/>
      <c r="D33" s="15"/>
      <c r="E33" s="65"/>
    </row>
    <row r="34" spans="1:5" s="64" customFormat="1">
      <c r="A34" s="120"/>
      <c r="C34" s="94"/>
      <c r="D34" s="16"/>
    </row>
    <row r="35" spans="1:5" s="64" customFormat="1">
      <c r="A35" s="120"/>
      <c r="C35" s="94"/>
    </row>
  </sheetData>
  <mergeCells count="12">
    <mergeCell ref="D10:G10"/>
    <mergeCell ref="D11:G11"/>
    <mergeCell ref="B15:B16"/>
    <mergeCell ref="C15:C16"/>
    <mergeCell ref="D15:D16"/>
    <mergeCell ref="E15:I15"/>
    <mergeCell ref="B1:I1"/>
    <mergeCell ref="B2:I2"/>
    <mergeCell ref="B4:I4"/>
    <mergeCell ref="B5:I5"/>
    <mergeCell ref="D7:H7"/>
    <mergeCell ref="D9:G9"/>
  </mergeCells>
  <pageMargins left="0.7" right="0.7" top="0.75" bottom="0.75" header="0.3" footer="0.3"/>
  <pageSetup paperSize="9" scale="66" orientation="portrait" horizontalDpi="300" verticalDpi="0" copies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showZeros="0" view="pageBreakPreview" topLeftCell="A24" zoomScaleNormal="100" zoomScaleSheetLayoutView="100" workbookViewId="0">
      <selection activeCell="F47" sqref="F47"/>
    </sheetView>
  </sheetViews>
  <sheetFormatPr defaultRowHeight="15"/>
  <cols>
    <col min="1" max="1" width="6.42578125" style="32" bestFit="1" customWidth="1"/>
    <col min="2" max="2" width="5.7109375" style="32" customWidth="1"/>
    <col min="3" max="3" width="19.7109375" style="32" customWidth="1"/>
    <col min="4" max="4" width="48.7109375" style="32" customWidth="1"/>
    <col min="5" max="5" width="16.28515625" style="32" customWidth="1"/>
    <col min="6" max="8" width="13.7109375" style="32" customWidth="1"/>
    <col min="9" max="9" width="15.7109375" style="32" customWidth="1"/>
    <col min="10" max="10" width="9.140625" style="39"/>
    <col min="11" max="16384" width="9.140625" style="32"/>
  </cols>
  <sheetData>
    <row r="1" spans="2:9">
      <c r="B1" s="2"/>
      <c r="C1" s="3"/>
      <c r="D1" s="53"/>
      <c r="E1" s="2"/>
      <c r="F1" s="2"/>
      <c r="G1" s="2"/>
      <c r="H1" s="2"/>
      <c r="I1" s="5" t="s">
        <v>8</v>
      </c>
    </row>
    <row r="2" spans="2:9">
      <c r="B2" s="2"/>
      <c r="C2" s="3" t="s">
        <v>9</v>
      </c>
      <c r="D2" s="310" t="str">
        <f>ИД!B2</f>
        <v>ООО "Системы Энергосбережения"</v>
      </c>
      <c r="E2" s="310"/>
      <c r="F2" s="310"/>
      <c r="G2" s="310"/>
      <c r="H2" s="310"/>
      <c r="I2" s="2"/>
    </row>
    <row r="3" spans="2:9">
      <c r="B3" s="2"/>
      <c r="C3" s="3"/>
      <c r="D3" s="311" t="s">
        <v>10</v>
      </c>
      <c r="E3" s="311"/>
      <c r="F3" s="311"/>
      <c r="G3" s="311"/>
      <c r="H3" s="311"/>
      <c r="I3" s="2"/>
    </row>
    <row r="4" spans="2:9">
      <c r="B4" s="2"/>
      <c r="C4" s="3" t="s">
        <v>161</v>
      </c>
      <c r="D4" s="6"/>
      <c r="E4" s="2"/>
      <c r="F4" s="7"/>
      <c r="G4" s="2"/>
      <c r="H4" s="2"/>
      <c r="I4" s="2"/>
    </row>
    <row r="5" spans="2:9">
      <c r="B5" s="2"/>
      <c r="C5" s="3"/>
      <c r="D5" s="53"/>
      <c r="E5" s="2"/>
      <c r="F5" s="7"/>
      <c r="G5" s="2"/>
      <c r="H5" s="2"/>
      <c r="I5" s="2"/>
    </row>
    <row r="6" spans="2:9">
      <c r="B6" s="2"/>
      <c r="C6" s="57" t="str">
        <f>" Сводный сметный расчет сметной стоимостью     "&amp;I54&amp;"     тыс.руб."</f>
        <v xml:space="preserve"> Сводный сметный расчет сметной стоимостью     1826,44     тыс.руб.</v>
      </c>
      <c r="D6" s="53"/>
      <c r="E6" s="2"/>
      <c r="F6" s="7"/>
      <c r="G6" s="2"/>
      <c r="H6" s="2"/>
      <c r="I6" s="2"/>
    </row>
    <row r="7" spans="2:9">
      <c r="B7" s="2"/>
      <c r="C7" s="8"/>
      <c r="D7" s="310"/>
      <c r="E7" s="310"/>
      <c r="F7" s="310"/>
      <c r="G7" s="310"/>
      <c r="H7" s="310"/>
      <c r="I7" s="2"/>
    </row>
    <row r="8" spans="2:9">
      <c r="B8" s="2"/>
      <c r="C8" s="3"/>
      <c r="D8" s="311" t="s">
        <v>11</v>
      </c>
      <c r="E8" s="311"/>
      <c r="F8" s="311"/>
      <c r="G8" s="311"/>
      <c r="H8" s="311"/>
      <c r="I8" s="2"/>
    </row>
    <row r="9" spans="2:9">
      <c r="B9" s="2"/>
      <c r="C9" s="3"/>
      <c r="D9" s="53"/>
      <c r="E9" s="9"/>
      <c r="F9" s="9"/>
      <c r="G9" s="9"/>
      <c r="H9" s="2"/>
      <c r="I9" s="2"/>
    </row>
    <row r="10" spans="2:9" ht="18.75" customHeight="1">
      <c r="B10" s="2"/>
      <c r="C10" s="3"/>
      <c r="D10" s="312" t="s">
        <v>109</v>
      </c>
      <c r="E10" s="312"/>
      <c r="F10" s="312"/>
      <c r="G10" s="312"/>
      <c r="H10" s="312"/>
      <c r="I10" s="2"/>
    </row>
    <row r="11" spans="2:9">
      <c r="B11" s="2"/>
      <c r="C11" s="3"/>
      <c r="D11" s="53"/>
      <c r="E11" s="9"/>
      <c r="F11" s="9"/>
      <c r="G11" s="2"/>
      <c r="H11" s="2"/>
      <c r="I11" s="2"/>
    </row>
    <row r="12" spans="2:9" ht="29.25" customHeight="1">
      <c r="B12" s="2"/>
      <c r="C12" s="3"/>
      <c r="D12" s="309" t="str">
        <f>CONCATENATE(ИД!B10,ИД!C11)</f>
        <v>«Реконструкция распределительных и квартальных тепловых сетей г. Благовещенска Амурской области» Объект 8 (Тепловые сети по ул. Кантемирова от ТК-3М (смотровая) до ТК-5М L= 45,25 м D= 325 мм, L= 123,45 м D= 273 мм)</v>
      </c>
      <c r="E12" s="309"/>
      <c r="F12" s="309"/>
      <c r="G12" s="309"/>
      <c r="H12" s="309"/>
      <c r="I12" s="2"/>
    </row>
    <row r="13" spans="2:9">
      <c r="B13" s="2"/>
      <c r="C13" s="3"/>
      <c r="D13" s="311" t="s">
        <v>12</v>
      </c>
      <c r="E13" s="311"/>
      <c r="F13" s="311"/>
      <c r="G13" s="311"/>
      <c r="H13" s="311"/>
      <c r="I13" s="2"/>
    </row>
    <row r="14" spans="2:9" ht="21" customHeight="1">
      <c r="B14" s="304" t="s">
        <v>27</v>
      </c>
      <c r="C14" s="304"/>
      <c r="D14" s="304"/>
      <c r="E14" s="304"/>
      <c r="F14" s="304"/>
      <c r="G14" s="304"/>
      <c r="H14" s="304"/>
      <c r="I14" s="304"/>
    </row>
    <row r="15" spans="2:9" ht="15" customHeight="1">
      <c r="B15" s="305" t="s">
        <v>13</v>
      </c>
      <c r="C15" s="306" t="s">
        <v>67</v>
      </c>
      <c r="D15" s="305" t="s">
        <v>77</v>
      </c>
      <c r="E15" s="320" t="s">
        <v>14</v>
      </c>
      <c r="F15" s="320"/>
      <c r="G15" s="320"/>
      <c r="H15" s="320"/>
      <c r="I15" s="320"/>
    </row>
    <row r="16" spans="2:9" ht="81.75" customHeight="1">
      <c r="B16" s="305"/>
      <c r="C16" s="306"/>
      <c r="D16" s="305"/>
      <c r="E16" s="113" t="s">
        <v>78</v>
      </c>
      <c r="F16" s="113" t="s">
        <v>15</v>
      </c>
      <c r="G16" s="113" t="s">
        <v>70</v>
      </c>
      <c r="H16" s="113" t="s">
        <v>79</v>
      </c>
      <c r="I16" s="113" t="s">
        <v>18</v>
      </c>
    </row>
    <row r="17" spans="1:14">
      <c r="B17" s="60">
        <v>1</v>
      </c>
      <c r="C17" s="10">
        <v>2</v>
      </c>
      <c r="D17" s="60">
        <v>3</v>
      </c>
      <c r="E17" s="60">
        <v>4</v>
      </c>
      <c r="F17" s="60">
        <v>5</v>
      </c>
      <c r="G17" s="60">
        <v>6</v>
      </c>
      <c r="H17" s="60">
        <v>7</v>
      </c>
      <c r="I17" s="60">
        <v>8</v>
      </c>
    </row>
    <row r="18" spans="1:14" s="22" customFormat="1" ht="21" customHeight="1">
      <c r="A18" s="28"/>
      <c r="B18" s="299" t="s">
        <v>29</v>
      </c>
      <c r="C18" s="300"/>
      <c r="D18" s="300"/>
      <c r="E18" s="300"/>
      <c r="F18" s="300"/>
      <c r="G18" s="300"/>
      <c r="H18" s="300"/>
      <c r="I18" s="300"/>
      <c r="J18" s="39"/>
    </row>
    <row r="19" spans="1:14" s="22" customFormat="1" ht="28.5" customHeight="1">
      <c r="A19" s="28"/>
      <c r="B19" s="230">
        <v>1</v>
      </c>
      <c r="C19" s="231" t="str">
        <f>ИД!A23</f>
        <v>15-12-22-4-ООС</v>
      </c>
      <c r="D19" s="231" t="str">
        <f>CONCATENATE(ИД!B23,"(",ИД!E23,"/",ИД!B15,")")</f>
        <v>Компенсационные выплаты за снос зеленых насаждений(276,78/14,17)</v>
      </c>
      <c r="E19" s="231"/>
      <c r="F19" s="231"/>
      <c r="G19" s="231"/>
      <c r="H19" s="233">
        <f>ИД!E23/ИД!B15</f>
        <v>19.53</v>
      </c>
      <c r="I19" s="233">
        <f>SUM(E19:H19)</f>
        <v>19.53</v>
      </c>
      <c r="J19" s="39"/>
    </row>
    <row r="20" spans="1:14" s="22" customFormat="1" ht="26.25" customHeight="1">
      <c r="A20" s="28"/>
      <c r="B20" s="41">
        <f>B19+1</f>
        <v>2</v>
      </c>
      <c r="C20" s="23" t="s">
        <v>98</v>
      </c>
      <c r="D20" s="24" t="s">
        <v>146</v>
      </c>
      <c r="E20" s="23">
        <f>'ОС-01-01'!E20</f>
        <v>9.74</v>
      </c>
      <c r="F20" s="23">
        <f>'ОС-01-01'!F20</f>
        <v>0</v>
      </c>
      <c r="G20" s="23">
        <f>'ОС-01-01'!G20</f>
        <v>0</v>
      </c>
      <c r="H20" s="23"/>
      <c r="I20" s="23">
        <f t="shared" ref="I20" si="0">SUM(E20:H20)</f>
        <v>9.74</v>
      </c>
      <c r="J20" s="39"/>
      <c r="L20" s="224"/>
    </row>
    <row r="21" spans="1:14" s="22" customFormat="1" ht="20.100000000000001" customHeight="1">
      <c r="A21" s="28"/>
      <c r="B21" s="41"/>
      <c r="C21" s="20"/>
      <c r="D21" s="21" t="s">
        <v>33</v>
      </c>
      <c r="E21" s="18">
        <f>SUM(E19:E20)</f>
        <v>9.74</v>
      </c>
      <c r="F21" s="18">
        <f>SUM(F19:F20)</f>
        <v>0</v>
      </c>
      <c r="G21" s="18">
        <f>SUM(G19:G20)</f>
        <v>0</v>
      </c>
      <c r="H21" s="18">
        <f>SUM(H19:H20)</f>
        <v>19.53</v>
      </c>
      <c r="I21" s="18">
        <f>SUM(I19:I20)</f>
        <v>29.27</v>
      </c>
      <c r="J21" s="43" t="b">
        <f>SUM(E21:H21)=SUM(I19:I20)</f>
        <v>1</v>
      </c>
    </row>
    <row r="22" spans="1:14" s="22" customFormat="1" ht="20.100000000000001" customHeight="1">
      <c r="A22" s="28"/>
      <c r="B22" s="299" t="s">
        <v>34</v>
      </c>
      <c r="C22" s="300"/>
      <c r="D22" s="300"/>
      <c r="E22" s="300"/>
      <c r="F22" s="300"/>
      <c r="G22" s="300"/>
      <c r="H22" s="300"/>
      <c r="I22" s="300"/>
      <c r="J22" s="39"/>
    </row>
    <row r="23" spans="1:14" s="22" customFormat="1" ht="26.25" customHeight="1">
      <c r="A23" s="28"/>
      <c r="B23" s="41">
        <f>B20+1</f>
        <v>3</v>
      </c>
      <c r="C23" s="23" t="s">
        <v>174</v>
      </c>
      <c r="D23" s="24" t="s">
        <v>175</v>
      </c>
      <c r="E23" s="23">
        <f>'ОС-01-02'!E20</f>
        <v>1007.31</v>
      </c>
      <c r="F23" s="23">
        <f>'ОС-01-02'!F20</f>
        <v>9.1</v>
      </c>
      <c r="G23" s="23">
        <f>'ОС-01-02'!G20</f>
        <v>2</v>
      </c>
      <c r="H23" s="23"/>
      <c r="I23" s="23">
        <f>SUM(E23:H23)</f>
        <v>1018.41</v>
      </c>
      <c r="J23" s="39"/>
      <c r="L23" s="224"/>
    </row>
    <row r="24" spans="1:14" s="22" customFormat="1" ht="20.100000000000001" customHeight="1">
      <c r="A24" s="28"/>
      <c r="B24" s="19"/>
      <c r="C24" s="20"/>
      <c r="D24" s="21" t="s">
        <v>35</v>
      </c>
      <c r="E24" s="18">
        <f>SUM(E23:E23)</f>
        <v>1007.31</v>
      </c>
      <c r="F24" s="18">
        <f t="shared" ref="F24:I24" si="1">SUM(F23:F23)</f>
        <v>9.1</v>
      </c>
      <c r="G24" s="18">
        <f t="shared" si="1"/>
        <v>2</v>
      </c>
      <c r="H24" s="18">
        <f t="shared" si="1"/>
        <v>0</v>
      </c>
      <c r="I24" s="18">
        <f t="shared" si="1"/>
        <v>1018.41</v>
      </c>
      <c r="J24" s="43" t="b">
        <f>SUM(E24:H24)=SUM(I23:I23)</f>
        <v>1</v>
      </c>
    </row>
    <row r="25" spans="1:14" s="22" customFormat="1" ht="22.5" customHeight="1">
      <c r="A25" s="28"/>
      <c r="B25" s="299" t="s">
        <v>83</v>
      </c>
      <c r="C25" s="300"/>
      <c r="D25" s="300"/>
      <c r="E25" s="300"/>
      <c r="F25" s="300"/>
      <c r="G25" s="300"/>
      <c r="H25" s="300"/>
      <c r="I25" s="300"/>
      <c r="J25" s="43"/>
    </row>
    <row r="26" spans="1:14" s="123" customFormat="1" ht="30.75" customHeight="1">
      <c r="A26" s="29"/>
      <c r="B26" s="135">
        <f>B23+1</f>
        <v>4</v>
      </c>
      <c r="C26" s="172" t="s">
        <v>94</v>
      </c>
      <c r="D26" s="42" t="s">
        <v>147</v>
      </c>
      <c r="E26" s="37">
        <v>167.73</v>
      </c>
      <c r="F26" s="37">
        <v>3.07</v>
      </c>
      <c r="G26" s="37"/>
      <c r="H26" s="37"/>
      <c r="I26" s="172">
        <f>SUM(E26:H26)</f>
        <v>170.8</v>
      </c>
      <c r="J26" s="43"/>
      <c r="L26" s="225"/>
    </row>
    <row r="27" spans="1:14" s="22" customFormat="1" ht="20.100000000000001" customHeight="1">
      <c r="A27" s="28"/>
      <c r="B27" s="19"/>
      <c r="C27" s="20"/>
      <c r="D27" s="21" t="s">
        <v>84</v>
      </c>
      <c r="E27" s="18">
        <f>SUM(E26:E26)</f>
        <v>167.73</v>
      </c>
      <c r="F27" s="18">
        <f>SUM(F26:F26)</f>
        <v>3.07</v>
      </c>
      <c r="G27" s="18">
        <f>SUM(G26:G26)</f>
        <v>0</v>
      </c>
      <c r="H27" s="18">
        <f>SUM(H26:H26)</f>
        <v>0</v>
      </c>
      <c r="I27" s="18">
        <f>SUM(I26:I26)</f>
        <v>170.8</v>
      </c>
      <c r="J27" s="43"/>
    </row>
    <row r="28" spans="1:14" s="22" customFormat="1" ht="20.100000000000001" customHeight="1">
      <c r="A28" s="29"/>
      <c r="B28" s="182"/>
      <c r="C28" s="17"/>
      <c r="D28" s="180" t="s">
        <v>36</v>
      </c>
      <c r="E28" s="18">
        <f>E21+E24+E27</f>
        <v>1184.78</v>
      </c>
      <c r="F28" s="18">
        <f>F21+F24+F27</f>
        <v>12.17</v>
      </c>
      <c r="G28" s="18">
        <f>G21+G24+G27</f>
        <v>2</v>
      </c>
      <c r="H28" s="18">
        <f>H21+H24+H27</f>
        <v>19.53</v>
      </c>
      <c r="I28" s="18">
        <f>I21+I24+I27</f>
        <v>1218.48</v>
      </c>
      <c r="J28" s="43" t="b">
        <f>SUM(E28:H28)=I21+I24+I27</f>
        <v>1</v>
      </c>
      <c r="K28" s="223">
        <f>I20+I23+I26</f>
        <v>1198.95</v>
      </c>
      <c r="L28" s="223"/>
      <c r="M28" s="223"/>
      <c r="N28" s="223"/>
    </row>
    <row r="29" spans="1:14" s="22" customFormat="1" ht="20.100000000000001" customHeight="1">
      <c r="A29" s="28"/>
      <c r="B29" s="299" t="s">
        <v>37</v>
      </c>
      <c r="C29" s="300"/>
      <c r="D29" s="300"/>
      <c r="E29" s="300"/>
      <c r="F29" s="300"/>
      <c r="G29" s="300"/>
      <c r="H29" s="300"/>
      <c r="I29" s="300"/>
      <c r="J29" s="39"/>
    </row>
    <row r="30" spans="1:14" s="22" customFormat="1" ht="66.75" customHeight="1">
      <c r="A30" s="31">
        <f>ИД!$G$25%</f>
        <v>1.9199999999999998E-2</v>
      </c>
      <c r="B30" s="169">
        <f>B26+1</f>
        <v>5</v>
      </c>
      <c r="C30" s="185" t="str">
        <f>ИД!$A$25</f>
        <v>Методика утв. Приказом Минстрой РФ от 19.06.20г. №332/пр, Приложение 1, п.53</v>
      </c>
      <c r="D30" s="186" t="str">
        <f>CONCATENATE(ИД!$B$25," - ",ИД!$D$25,ИД!$E$25,"х",ИД!$F$25,"=",ИД!$G$25,ИД!$E$25)</f>
        <v>Временные здания и сооружения (Объекты непроизводственного значения:Сети газо-,тепло-, водоснабжения и водоотведения(очистные сооружения,насосные станции и т.п.) в черте города) - 2,4%х0,8=1,92%</v>
      </c>
      <c r="E30" s="38">
        <f>E28*A30</f>
        <v>22.75</v>
      </c>
      <c r="F30" s="38">
        <f>F28*A30</f>
        <v>0.23</v>
      </c>
      <c r="G30" s="23"/>
      <c r="H30" s="23"/>
      <c r="I30" s="23">
        <f>SUM(E30:H30)</f>
        <v>22.98</v>
      </c>
      <c r="J30" s="39"/>
    </row>
    <row r="31" spans="1:14" s="22" customFormat="1" ht="20.100000000000001" customHeight="1">
      <c r="A31" s="28"/>
      <c r="B31" s="19"/>
      <c r="C31" s="24"/>
      <c r="D31" s="21" t="s">
        <v>38</v>
      </c>
      <c r="E31" s="18">
        <f>SUM(E30:E30)</f>
        <v>22.75</v>
      </c>
      <c r="F31" s="18">
        <f>SUM(F30:F30)</f>
        <v>0.23</v>
      </c>
      <c r="G31" s="18">
        <f>SUM(G30:G30)</f>
        <v>0</v>
      </c>
      <c r="H31" s="18">
        <f>SUM(H30:H30)</f>
        <v>0</v>
      </c>
      <c r="I31" s="18">
        <f>SUM(I30:I30)</f>
        <v>22.98</v>
      </c>
      <c r="J31" s="43" t="b">
        <f>SUM(E31:H31)=SUM(I30:I30)</f>
        <v>1</v>
      </c>
    </row>
    <row r="32" spans="1:14" s="22" customFormat="1" ht="20.100000000000001" customHeight="1">
      <c r="A32" s="28"/>
      <c r="B32" s="182"/>
      <c r="C32" s="17"/>
      <c r="D32" s="180" t="s">
        <v>39</v>
      </c>
      <c r="E32" s="18">
        <f>E28+E31</f>
        <v>1207.53</v>
      </c>
      <c r="F32" s="18">
        <f>F28+F31</f>
        <v>12.4</v>
      </c>
      <c r="G32" s="18">
        <f>G28+G31</f>
        <v>2</v>
      </c>
      <c r="H32" s="18">
        <f>H28+H31</f>
        <v>19.53</v>
      </c>
      <c r="I32" s="18">
        <f>I28+I31</f>
        <v>1241.46</v>
      </c>
      <c r="J32" s="43" t="b">
        <f>SUM(E32:H32)=I28+I31</f>
        <v>1</v>
      </c>
    </row>
    <row r="33" spans="1:10" s="22" customFormat="1" ht="18" customHeight="1">
      <c r="A33" s="28"/>
      <c r="B33" s="299" t="s">
        <v>40</v>
      </c>
      <c r="C33" s="300"/>
      <c r="D33" s="300"/>
      <c r="E33" s="300"/>
      <c r="F33" s="300"/>
      <c r="G33" s="300"/>
      <c r="H33" s="300"/>
      <c r="I33" s="300"/>
      <c r="J33" s="39"/>
    </row>
    <row r="34" spans="1:10" s="22" customFormat="1" ht="30.75" customHeight="1">
      <c r="A34" s="28"/>
      <c r="B34" s="169">
        <f>B30+1</f>
        <v>6</v>
      </c>
      <c r="C34" s="24" t="str">
        <f>ИД!A26</f>
        <v>СР-1</v>
      </c>
      <c r="D34" s="24" t="str">
        <f>CONCATENATE(ИД!B26," ","(",ИД!E26,"/",1.2,"/",ИД!B15,")")</f>
        <v>Стоимость размещения отходов на полигоне ТБО (2715,77/1,2/14,17)</v>
      </c>
      <c r="E34" s="23"/>
      <c r="F34" s="23"/>
      <c r="G34" s="23"/>
      <c r="H34" s="23">
        <f>ССРтек!H34/ИД!B15</f>
        <v>159.71</v>
      </c>
      <c r="I34" s="37">
        <f t="shared" ref="I34:I37" si="2">SUM(E34:H34)</f>
        <v>159.71</v>
      </c>
      <c r="J34" s="39"/>
    </row>
    <row r="35" spans="1:10" s="22" customFormat="1" ht="40.5" customHeight="1">
      <c r="A35" s="28"/>
      <c r="B35" s="169">
        <f>B34+1</f>
        <v>7</v>
      </c>
      <c r="C35" s="24" t="str">
        <f>ИД!A27</f>
        <v>15-12-22-4-ООС  таб.3.1</v>
      </c>
      <c r="D35" s="24" t="str">
        <f>CONCATENATE(ИД!B27,"(",ИД!E27,"/",ИД!B15,")")</f>
        <v>Расчёт платы за негативное воздействие на окружающую среду (выбросы загрязняющих веществ в атмосферу)(0,52/14,17)</v>
      </c>
      <c r="E35" s="23"/>
      <c r="F35" s="23"/>
      <c r="G35" s="23"/>
      <c r="H35" s="23">
        <f>ИД!E27/ИД!B15</f>
        <v>0.04</v>
      </c>
      <c r="I35" s="37">
        <f>SUM(E35:H35)</f>
        <v>0.04</v>
      </c>
      <c r="J35" s="39"/>
    </row>
    <row r="36" spans="1:10" s="123" customFormat="1" ht="37.5" customHeight="1">
      <c r="A36" s="29"/>
      <c r="B36" s="169">
        <f>B35+1</f>
        <v>8</v>
      </c>
      <c r="C36" s="176" t="str">
        <f>ИД!A28</f>
        <v>15-12-22-4-ООС таб.3.1</v>
      </c>
      <c r="D36" s="176" t="str">
        <f>CONCATENATE(ИД!B28,"
(",ИД!E28,"/",ИД!$B$15,")")</f>
        <v>Расчёт платы за негативное воздействие на окружающую среду (размещеие отходов)
(398,99/14,17)</v>
      </c>
      <c r="E36" s="177"/>
      <c r="F36" s="177"/>
      <c r="G36" s="177"/>
      <c r="H36" s="178">
        <f>ИД!E28/ИД!B15</f>
        <v>28.16</v>
      </c>
      <c r="I36" s="212">
        <f t="shared" si="2"/>
        <v>28.16</v>
      </c>
      <c r="J36" s="173"/>
    </row>
    <row r="37" spans="1:10" s="123" customFormat="1" ht="51" hidden="1">
      <c r="A37" s="29"/>
      <c r="B37" s="169">
        <f t="shared" ref="B37" si="3">B36+1</f>
        <v>9</v>
      </c>
      <c r="C37" s="197" t="str">
        <f>ИД!A29</f>
        <v>Приложение №1 к договору №1428/21-ТП от 05.04.2021,счет №АS-з 1428/21 от 05.04.2021</v>
      </c>
      <c r="D37" s="197" t="str">
        <f>CONCATENATE(ИД!B29," (",ИД!E29,"/1,2/1000/",ИД!$B$15,")")</f>
        <v>Плата за технологическое присоединение к сетям АО "ДРСК" (0/1,2/1000/14,17)</v>
      </c>
      <c r="E37" s="198"/>
      <c r="F37" s="198"/>
      <c r="G37" s="198"/>
      <c r="H37" s="198"/>
      <c r="I37" s="199">
        <f t="shared" si="2"/>
        <v>0</v>
      </c>
      <c r="J37" s="173"/>
    </row>
    <row r="38" spans="1:10" s="123" customFormat="1" ht="27" customHeight="1">
      <c r="A38" s="29"/>
      <c r="B38" s="169">
        <f>B36+1</f>
        <v>9</v>
      </c>
      <c r="C38" s="171" t="str">
        <f>ИД!A30</f>
        <v>15-12-22-4-ООС  таб.3.1</v>
      </c>
      <c r="D38" s="171" t="str">
        <f>CONCATENATE(ИД!B30,"(",ИД!E30,"/",ИД!B15,")")</f>
        <v>Расчет затрат на экологический мониторинг(10,53/14,17)</v>
      </c>
      <c r="E38" s="172"/>
      <c r="F38" s="172"/>
      <c r="G38" s="172"/>
      <c r="H38" s="172">
        <f>ИД!E30/ИД!B15</f>
        <v>0.74</v>
      </c>
      <c r="I38" s="37">
        <f>SUM(E38:H38)</f>
        <v>0.74</v>
      </c>
      <c r="J38" s="173"/>
    </row>
    <row r="39" spans="1:10" s="22" customFormat="1" ht="18" customHeight="1">
      <c r="A39" s="28"/>
      <c r="B39" s="19"/>
      <c r="C39" s="20"/>
      <c r="D39" s="21" t="s">
        <v>41</v>
      </c>
      <c r="E39" s="18">
        <f>SUM(E34:E38)</f>
        <v>0</v>
      </c>
      <c r="F39" s="18">
        <f t="shared" ref="F39:I39" si="4">SUM(F34:F38)</f>
        <v>0</v>
      </c>
      <c r="G39" s="18">
        <f t="shared" si="4"/>
        <v>0</v>
      </c>
      <c r="H39" s="18">
        <f t="shared" si="4"/>
        <v>188.65</v>
      </c>
      <c r="I39" s="18">
        <f t="shared" si="4"/>
        <v>188.65</v>
      </c>
      <c r="J39" s="43" t="b">
        <f>SUM(E39:H39)=SUM(I34:I38)</f>
        <v>1</v>
      </c>
    </row>
    <row r="40" spans="1:10" s="22" customFormat="1" ht="18" customHeight="1">
      <c r="A40" s="28"/>
      <c r="B40" s="182"/>
      <c r="C40" s="17"/>
      <c r="D40" s="180" t="s">
        <v>42</v>
      </c>
      <c r="E40" s="18">
        <f>E32+E39</f>
        <v>1207.53</v>
      </c>
      <c r="F40" s="18">
        <f>F32+F39</f>
        <v>12.4</v>
      </c>
      <c r="G40" s="18">
        <f>G32+G39</f>
        <v>2</v>
      </c>
      <c r="H40" s="18">
        <f>H32+H39</f>
        <v>208.18</v>
      </c>
      <c r="I40" s="18">
        <f>I32+I39</f>
        <v>1430.11</v>
      </c>
      <c r="J40" s="43" t="b">
        <f>SUM(E40:H40)=I32+I39</f>
        <v>1</v>
      </c>
    </row>
    <row r="41" spans="1:10" s="22" customFormat="1" ht="18" customHeight="1">
      <c r="A41" s="28"/>
      <c r="B41" s="299" t="s">
        <v>54</v>
      </c>
      <c r="C41" s="300"/>
      <c r="D41" s="300"/>
      <c r="E41" s="300"/>
      <c r="F41" s="300"/>
      <c r="G41" s="300"/>
      <c r="H41" s="300"/>
      <c r="I41" s="300"/>
      <c r="J41" s="39"/>
    </row>
    <row r="42" spans="1:10" s="22" customFormat="1" ht="45.75" customHeight="1">
      <c r="A42" s="114">
        <f>ИД!D31%</f>
        <v>2.1399999999999999E-2</v>
      </c>
      <c r="B42" s="54">
        <f>B38+1</f>
        <v>10</v>
      </c>
      <c r="C42" s="115" t="str">
        <f>ИД!A31</f>
        <v>Постановление Правительства РФ от 21.06.2010г. №468</v>
      </c>
      <c r="D42" s="42" t="str">
        <f>CONCATENATE(ИД!B31," ","-"," ",ИД!D31,ИД!E31," ","от"," ",ССРбаз!I40)</f>
        <v>Строительный контроль - 2,14% от 1430,11</v>
      </c>
      <c r="E42" s="18"/>
      <c r="F42" s="18"/>
      <c r="G42" s="18"/>
      <c r="H42" s="38">
        <f>I40*$A$42</f>
        <v>30.6</v>
      </c>
      <c r="I42" s="38">
        <f>SUM(E42:H42)</f>
        <v>30.6</v>
      </c>
      <c r="J42" s="39"/>
    </row>
    <row r="43" spans="1:10" s="22" customFormat="1" ht="18" customHeight="1">
      <c r="A43" s="28"/>
      <c r="B43" s="182"/>
      <c r="C43" s="17"/>
      <c r="D43" s="21" t="s">
        <v>56</v>
      </c>
      <c r="E43" s="18"/>
      <c r="F43" s="18"/>
      <c r="G43" s="18"/>
      <c r="H43" s="18">
        <f>SUM(H42:H42)</f>
        <v>30.6</v>
      </c>
      <c r="I43" s="18">
        <f>SUM(I42:I42)</f>
        <v>30.6</v>
      </c>
      <c r="J43" s="39"/>
    </row>
    <row r="44" spans="1:10" s="189" customFormat="1" ht="56.1" customHeight="1">
      <c r="A44" s="187"/>
      <c r="B44" s="299" t="s">
        <v>76</v>
      </c>
      <c r="C44" s="300"/>
      <c r="D44" s="300"/>
      <c r="E44" s="300"/>
      <c r="F44" s="300"/>
      <c r="G44" s="300"/>
      <c r="H44" s="300"/>
      <c r="I44" s="300"/>
      <c r="J44" s="188"/>
    </row>
    <row r="45" spans="1:10" s="189" customFormat="1" ht="56.25" customHeight="1">
      <c r="A45" s="114">
        <v>2E-3</v>
      </c>
      <c r="B45" s="54">
        <f>B42+1</f>
        <v>11</v>
      </c>
      <c r="C45" s="185" t="str">
        <f>ИД!A32</f>
        <v>Методика утв. Приказом Минстрой РФ от 04.08.2020г. №421/пр п.173</v>
      </c>
      <c r="D45" s="42" t="str">
        <f>CONCATENATE(ИД!$B$32," - ",ИД!$D$32,ИД!$E$32," от ",I40,"
")</f>
        <v xml:space="preserve">Авторский надзор  - 0,2% от 1430,11
</v>
      </c>
      <c r="E45" s="27"/>
      <c r="F45" s="27"/>
      <c r="G45" s="27"/>
      <c r="H45" s="38">
        <f>I40*$A$45</f>
        <v>2.86</v>
      </c>
      <c r="I45" s="37">
        <f>SUM(E45:H45)</f>
        <v>2.86</v>
      </c>
      <c r="J45" s="188"/>
    </row>
    <row r="46" spans="1:10" s="189" customFormat="1" ht="56.25" customHeight="1">
      <c r="A46" s="187"/>
      <c r="B46" s="217">
        <f>B45+1</f>
        <v>12</v>
      </c>
      <c r="C46" s="218" t="str">
        <f>ИД!A33</f>
        <v xml:space="preserve"> Смета №1-4</v>
      </c>
      <c r="D46" s="219" t="str">
        <f>CONCATENATE(ИД!B33," ","(",ИД!D33,"/",ИД!E17,")")</f>
        <v>Расчёт стоимости выполнения изыскательских работ (в том числе инженерно-геодезические, инженерно-геологические, гидрометеорологические и экологические изыскания) (163,49/1,266)</v>
      </c>
      <c r="E46" s="220"/>
      <c r="F46" s="220"/>
      <c r="G46" s="220"/>
      <c r="H46" s="221">
        <f>ИД!D33/ИД!E17</f>
        <v>129.13999999999999</v>
      </c>
      <c r="I46" s="212">
        <f t="shared" ref="I46:I49" si="5">SUM(E46:H46)</f>
        <v>129.13999999999999</v>
      </c>
      <c r="J46" s="188"/>
    </row>
    <row r="47" spans="1:10" s="189" customFormat="1" ht="34.5" customHeight="1">
      <c r="A47" s="187"/>
      <c r="B47" s="217">
        <f>B46+1</f>
        <v>13</v>
      </c>
      <c r="C47" s="218" t="str">
        <f>ИД!A34</f>
        <v>Смета №5</v>
      </c>
      <c r="D47" s="219" t="str">
        <f>CONCATENATE(ИД!B34,"(",ИД!D34,"/",ИД!E18,")")</f>
        <v>Разработка проектной документации(60,83/1,19)</v>
      </c>
      <c r="E47" s="220"/>
      <c r="F47" s="220"/>
      <c r="G47" s="220"/>
      <c r="H47" s="221">
        <f>ИД!D34/ИД!E18</f>
        <v>51.12</v>
      </c>
      <c r="I47" s="212">
        <f t="shared" si="5"/>
        <v>51.12</v>
      </c>
      <c r="J47" s="188"/>
    </row>
    <row r="48" spans="1:10" s="189" customFormat="1" ht="30" customHeight="1">
      <c r="A48" s="187"/>
      <c r="B48" s="217">
        <f>B47+1</f>
        <v>14</v>
      </c>
      <c r="C48" s="218" t="str">
        <f>ИД!A35</f>
        <v>Смета №6</v>
      </c>
      <c r="D48" s="219" t="str">
        <f>CONCATENATE(ИД!B35,"(",ИД!D35,"/",ИД!E18,")")</f>
        <v>Разработка рабочей документации(91,25/1,19)</v>
      </c>
      <c r="E48" s="220"/>
      <c r="F48" s="220"/>
      <c r="G48" s="220"/>
      <c r="H48" s="221">
        <f>ИД!D35/ИД!E18</f>
        <v>76.680000000000007</v>
      </c>
      <c r="I48" s="212">
        <f t="shared" si="5"/>
        <v>76.680000000000007</v>
      </c>
      <c r="J48" s="188"/>
    </row>
    <row r="49" spans="1:10" s="189" customFormat="1" ht="42.75" customHeight="1">
      <c r="A49" s="187"/>
      <c r="B49" s="217">
        <f>B48+1</f>
        <v>15</v>
      </c>
      <c r="C49" s="218" t="str">
        <f>ИД!A36</f>
        <v>Постановление Правительства РФ №145от 05.03.2007г.</v>
      </c>
      <c r="D49" s="219" t="str">
        <f>CONCATENATE(ИД!B36,"(",ИД!D33,"/",ИД!E17,"+",ИД!D34,"/",ИД!E18,")","*",0.2925)</f>
        <v>Проведение государственной экспертизы по объекту(163,49/1,266+60,83/1,19)*0,2925</v>
      </c>
      <c r="E49" s="220"/>
      <c r="F49" s="220"/>
      <c r="G49" s="220"/>
      <c r="H49" s="221">
        <f>(ИД!D33/ИД!E17+ИД!D34/ИД!E18)*0.2925</f>
        <v>52.73</v>
      </c>
      <c r="I49" s="212">
        <f t="shared" si="5"/>
        <v>52.73</v>
      </c>
      <c r="J49" s="188"/>
    </row>
    <row r="50" spans="1:10" s="22" customFormat="1" ht="18" customHeight="1">
      <c r="A50" s="28"/>
      <c r="B50" s="182"/>
      <c r="C50" s="17"/>
      <c r="D50" s="21" t="s">
        <v>43</v>
      </c>
      <c r="E50" s="18">
        <f>SUM(E45:E49)</f>
        <v>0</v>
      </c>
      <c r="F50" s="18">
        <f>SUM(F45:F49)</f>
        <v>0</v>
      </c>
      <c r="G50" s="18">
        <f>SUM(G45:G49)</f>
        <v>0</v>
      </c>
      <c r="H50" s="18">
        <f>SUM(H45:H49)</f>
        <v>312.52999999999997</v>
      </c>
      <c r="I50" s="18">
        <f>SUM(I45:I49)</f>
        <v>312.52999999999997</v>
      </c>
      <c r="J50" s="43" t="b">
        <f>SUM(E50:H50)=SUM(I45:I49)</f>
        <v>1</v>
      </c>
    </row>
    <row r="51" spans="1:10" s="22" customFormat="1" ht="18" customHeight="1">
      <c r="A51" s="28"/>
      <c r="B51" s="182"/>
      <c r="C51" s="17"/>
      <c r="D51" s="180" t="s">
        <v>44</v>
      </c>
      <c r="E51" s="18">
        <f>E40+E43+E50</f>
        <v>1207.53</v>
      </c>
      <c r="F51" s="18">
        <f>F40+F43+F50</f>
        <v>12.4</v>
      </c>
      <c r="G51" s="18">
        <f>G40+G43+G50</f>
        <v>2</v>
      </c>
      <c r="H51" s="18">
        <f>H40+H43+H50</f>
        <v>551.30999999999995</v>
      </c>
      <c r="I51" s="18">
        <f>I40+I43+I50</f>
        <v>1773.24</v>
      </c>
      <c r="J51" s="43" t="b">
        <f>SUM(E51:H51)=I40+I43+I50</f>
        <v>1</v>
      </c>
    </row>
    <row r="52" spans="1:10" s="22" customFormat="1" ht="15" customHeight="1">
      <c r="A52" s="28"/>
      <c r="B52" s="299" t="s">
        <v>45</v>
      </c>
      <c r="C52" s="300"/>
      <c r="D52" s="300"/>
      <c r="E52" s="300"/>
      <c r="F52" s="300"/>
      <c r="G52" s="300"/>
      <c r="H52" s="300"/>
      <c r="I52" s="300"/>
      <c r="J52" s="39"/>
    </row>
    <row r="53" spans="1:10" s="22" customFormat="1" ht="51">
      <c r="A53" s="30">
        <v>0.03</v>
      </c>
      <c r="B53" s="41">
        <f>B49+1</f>
        <v>16</v>
      </c>
      <c r="C53" s="24" t="str">
        <f>ИД!A37</f>
        <v>Методика утв. Приказом Минстрой РФ от 04.08.2020г. №421/пр п.179</v>
      </c>
      <c r="D53" s="181" t="s">
        <v>57</v>
      </c>
      <c r="E53" s="23">
        <f>E51*$A$53</f>
        <v>36.229999999999997</v>
      </c>
      <c r="F53" s="23">
        <f t="shared" ref="F53:H53" si="6">F51*$A$53</f>
        <v>0.37</v>
      </c>
      <c r="G53" s="23">
        <f t="shared" si="6"/>
        <v>0.06</v>
      </c>
      <c r="H53" s="23">
        <f t="shared" si="6"/>
        <v>16.54</v>
      </c>
      <c r="I53" s="23">
        <f>SUM(E53:H53)</f>
        <v>53.2</v>
      </c>
    </row>
    <row r="54" spans="1:10" s="22" customFormat="1" ht="26.25" customHeight="1">
      <c r="A54" s="28"/>
      <c r="B54" s="35"/>
      <c r="C54" s="35"/>
      <c r="D54" s="180" t="s">
        <v>46</v>
      </c>
      <c r="E54" s="18">
        <f>E51+E53</f>
        <v>1243.76</v>
      </c>
      <c r="F54" s="18">
        <f>F51+F53</f>
        <v>12.77</v>
      </c>
      <c r="G54" s="18">
        <f>G51+G53</f>
        <v>2.06</v>
      </c>
      <c r="H54" s="18">
        <f>H51+H53</f>
        <v>567.85</v>
      </c>
      <c r="I54" s="18">
        <f>I51+I53</f>
        <v>1826.44</v>
      </c>
      <c r="J54" s="43" t="b">
        <f>SUM(E54:H54)=I51+I53</f>
        <v>1</v>
      </c>
    </row>
    <row r="55" spans="1:10" s="203" customFormat="1" ht="18" customHeight="1">
      <c r="B55" s="204"/>
      <c r="C55" s="204"/>
      <c r="D55" s="205" t="s">
        <v>112</v>
      </c>
      <c r="E55" s="204"/>
      <c r="F55" s="204"/>
      <c r="G55" s="204"/>
      <c r="H55" s="204"/>
      <c r="I55" s="206">
        <f>ИД!D40</f>
        <v>7.55</v>
      </c>
      <c r="J55" s="207"/>
    </row>
    <row r="56" spans="1:10">
      <c r="B56" s="252"/>
      <c r="C56" s="252"/>
      <c r="D56" s="255" t="s">
        <v>144</v>
      </c>
      <c r="E56" s="253"/>
      <c r="F56" s="253"/>
      <c r="G56" s="253"/>
      <c r="H56" s="253"/>
      <c r="I56" s="254">
        <f>H46+H47+H48</f>
        <v>256.94</v>
      </c>
    </row>
    <row r="57" spans="1:10">
      <c r="B57" s="256"/>
      <c r="C57" s="256"/>
      <c r="D57" s="257"/>
      <c r="E57" s="258"/>
      <c r="F57" s="258"/>
      <c r="G57" s="258"/>
      <c r="H57" s="258"/>
      <c r="I57" s="259"/>
    </row>
    <row r="59" spans="1:10">
      <c r="C59" s="45" t="str">
        <f>ССРтек!C61</f>
        <v>Генеральный директор  ООО "ИВЦ "Энергоактив""</v>
      </c>
      <c r="D59" s="1"/>
      <c r="E59" s="301"/>
      <c r="F59" s="301"/>
      <c r="G59" s="301"/>
      <c r="H59" s="61" t="str">
        <f>ИД!$B$6</f>
        <v>С.В. Лопашук</v>
      </c>
      <c r="I59" s="1"/>
    </row>
    <row r="60" spans="1:10">
      <c r="C60" s="3"/>
      <c r="D60" s="61"/>
      <c r="E60" s="9"/>
      <c r="F60" s="9"/>
      <c r="G60" s="9"/>
      <c r="H60" s="61"/>
      <c r="I60" s="9"/>
    </row>
    <row r="61" spans="1:10">
      <c r="C61" s="3"/>
      <c r="D61" s="61"/>
      <c r="E61" s="9"/>
      <c r="F61" s="9"/>
      <c r="G61" s="9"/>
      <c r="H61" s="61"/>
      <c r="I61" s="9"/>
    </row>
    <row r="62" spans="1:10">
      <c r="C62" s="45" t="str">
        <f>ССРтек!C64</f>
        <v>Главный инженер проекта ООО "ИВЦ "Энергоактив""</v>
      </c>
      <c r="D62" s="1"/>
      <c r="E62" s="301"/>
      <c r="F62" s="301"/>
      <c r="G62" s="301"/>
      <c r="H62" s="123" t="str">
        <f>ИД!B7</f>
        <v>Н.В.Петров</v>
      </c>
      <c r="I62" s="1"/>
    </row>
    <row r="63" spans="1:10">
      <c r="C63" s="3"/>
      <c r="D63" s="61"/>
      <c r="E63" s="9"/>
      <c r="F63" s="9"/>
      <c r="G63" s="9"/>
      <c r="H63" s="61"/>
      <c r="I63" s="9"/>
    </row>
    <row r="64" spans="1:10">
      <c r="C64" s="3"/>
      <c r="D64" s="61"/>
      <c r="E64" s="9"/>
      <c r="F64" s="9"/>
      <c r="G64" s="9"/>
      <c r="H64" s="61"/>
      <c r="I64" s="9"/>
    </row>
    <row r="65" spans="3:9">
      <c r="C65" s="3" t="s">
        <v>50</v>
      </c>
      <c r="D65" s="61"/>
      <c r="E65" s="241"/>
      <c r="F65" s="241"/>
      <c r="G65" s="241"/>
      <c r="H65" s="61"/>
      <c r="I65" s="9"/>
    </row>
    <row r="66" spans="3:9" ht="18.75" customHeight="1">
      <c r="C66" s="302"/>
      <c r="D66" s="302"/>
      <c r="E66" s="298"/>
      <c r="F66" s="298"/>
      <c r="G66" s="298"/>
      <c r="H66" s="66"/>
      <c r="I66" s="9"/>
    </row>
  </sheetData>
  <mergeCells count="24">
    <mergeCell ref="D12:H12"/>
    <mergeCell ref="D2:H2"/>
    <mergeCell ref="D3:H3"/>
    <mergeCell ref="D7:H7"/>
    <mergeCell ref="D8:H8"/>
    <mergeCell ref="D10:H10"/>
    <mergeCell ref="D13:H13"/>
    <mergeCell ref="B14:I14"/>
    <mergeCell ref="B15:B16"/>
    <mergeCell ref="C15:C16"/>
    <mergeCell ref="D15:D16"/>
    <mergeCell ref="E15:I15"/>
    <mergeCell ref="B29:I29"/>
    <mergeCell ref="B33:I33"/>
    <mergeCell ref="B52:I52"/>
    <mergeCell ref="B18:I18"/>
    <mergeCell ref="B22:I22"/>
    <mergeCell ref="B41:I41"/>
    <mergeCell ref="B25:I25"/>
    <mergeCell ref="E66:G66"/>
    <mergeCell ref="B44:I44"/>
    <mergeCell ref="E59:G59"/>
    <mergeCell ref="E62:G62"/>
    <mergeCell ref="C66:D66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9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showZeros="0" view="pageBreakPreview" zoomScaleNormal="100" zoomScaleSheetLayoutView="100" workbookViewId="0">
      <selection activeCell="H11" sqref="H11"/>
    </sheetView>
  </sheetViews>
  <sheetFormatPr defaultRowHeight="15"/>
  <cols>
    <col min="1" max="1" width="7.5703125" style="56" bestFit="1" customWidth="1"/>
    <col min="2" max="2" width="5.7109375" style="32" customWidth="1"/>
    <col min="3" max="3" width="15.7109375" style="36" customWidth="1"/>
    <col min="4" max="4" width="39.7109375" style="32" customWidth="1"/>
    <col min="5" max="5" width="16.28515625" style="32" customWidth="1"/>
    <col min="6" max="6" width="11.7109375" style="32" customWidth="1"/>
    <col min="7" max="8" width="12.7109375" style="32" customWidth="1"/>
    <col min="9" max="9" width="14.7109375" style="32" customWidth="1"/>
    <col min="10" max="16384" width="9.140625" style="32"/>
  </cols>
  <sheetData>
    <row r="1" spans="1:9" ht="30.75" customHeight="1">
      <c r="B1" s="314" t="str">
        <f>CONCATENATE(ИД!$B$10,ИД!$C$11)</f>
        <v>«Реконструкция распределительных и квартальных тепловых сетей г. Благовещенска Амурской области» Объект 8 (Тепловые сети по ул. Кантемирова от ТК-3М (смотровая) до ТК-5М L= 45,25 м D= 325 мм, L= 123,45 м D= 273 мм)</v>
      </c>
      <c r="C1" s="314"/>
      <c r="D1" s="314"/>
      <c r="E1" s="314"/>
      <c r="F1" s="314"/>
      <c r="G1" s="314"/>
      <c r="H1" s="314"/>
      <c r="I1" s="314"/>
    </row>
    <row r="2" spans="1:9" s="40" customFormat="1">
      <c r="A2" s="118"/>
      <c r="B2" s="315" t="s">
        <v>12</v>
      </c>
      <c r="C2" s="315"/>
      <c r="D2" s="315"/>
      <c r="E2" s="315"/>
      <c r="F2" s="315"/>
      <c r="G2" s="315"/>
      <c r="H2" s="315"/>
      <c r="I2" s="315"/>
    </row>
    <row r="4" spans="1:9" ht="15.75">
      <c r="B4" s="316" t="s">
        <v>87</v>
      </c>
      <c r="C4" s="316"/>
      <c r="D4" s="316"/>
      <c r="E4" s="316"/>
      <c r="F4" s="316"/>
      <c r="G4" s="316"/>
      <c r="H4" s="316"/>
      <c r="I4" s="316"/>
    </row>
    <row r="5" spans="1:9" ht="15.75">
      <c r="B5" s="316" t="s">
        <v>145</v>
      </c>
      <c r="C5" s="316"/>
      <c r="D5" s="316"/>
      <c r="E5" s="316"/>
      <c r="F5" s="316"/>
      <c r="G5" s="316"/>
      <c r="H5" s="316"/>
      <c r="I5" s="316"/>
    </row>
    <row r="6" spans="1:9" ht="15.75">
      <c r="B6" s="33"/>
      <c r="C6" s="62"/>
      <c r="D6" s="33"/>
      <c r="E6" s="33"/>
      <c r="F6" s="33"/>
      <c r="G6" s="33"/>
      <c r="H6" s="33"/>
      <c r="I6" s="33"/>
    </row>
    <row r="7" spans="1:9" s="67" customFormat="1" ht="13.5">
      <c r="A7" s="119"/>
      <c r="B7" s="68"/>
      <c r="C7" s="68"/>
      <c r="D7" s="317" t="s">
        <v>62</v>
      </c>
      <c r="E7" s="317"/>
      <c r="F7" s="317"/>
      <c r="G7" s="317"/>
      <c r="H7" s="317"/>
      <c r="I7" s="68"/>
    </row>
    <row r="8" spans="1:9" s="67" customFormat="1" ht="13.5">
      <c r="A8" s="119"/>
      <c r="B8" s="69"/>
      <c r="C8" s="69"/>
      <c r="D8" s="70"/>
      <c r="E8" s="69"/>
      <c r="F8" s="69"/>
      <c r="G8" s="69"/>
      <c r="H8" s="69"/>
      <c r="I8" s="69"/>
    </row>
    <row r="9" spans="1:9" s="67" customFormat="1" ht="15" customHeight="1">
      <c r="A9" s="119"/>
      <c r="B9" s="69"/>
      <c r="C9" s="68"/>
      <c r="D9" s="313" t="s">
        <v>63</v>
      </c>
      <c r="E9" s="313"/>
      <c r="F9" s="313"/>
      <c r="G9" s="313"/>
      <c r="H9" s="71">
        <f>I24</f>
        <v>10.23</v>
      </c>
      <c r="I9" s="72" t="s">
        <v>28</v>
      </c>
    </row>
    <row r="10" spans="1:9" s="67" customFormat="1" ht="36" customHeight="1">
      <c r="A10" s="119"/>
      <c r="B10" s="69"/>
      <c r="C10" s="68"/>
      <c r="D10" s="318" t="s">
        <v>64</v>
      </c>
      <c r="E10" s="318"/>
      <c r="F10" s="318"/>
      <c r="G10" s="318"/>
      <c r="H10" s="239">
        <f>ИД!F23</f>
        <v>0.16900000000000001</v>
      </c>
      <c r="I10" s="74" t="str">
        <f>'ОС-01-01тек'!I10</f>
        <v>км</v>
      </c>
    </row>
    <row r="11" spans="1:9" s="67" customFormat="1" ht="36" customHeight="1">
      <c r="A11" s="119"/>
      <c r="B11" s="69"/>
      <c r="C11" s="68"/>
      <c r="D11" s="318" t="s">
        <v>65</v>
      </c>
      <c r="E11" s="318"/>
      <c r="F11" s="318"/>
      <c r="G11" s="318"/>
      <c r="H11" s="73">
        <f>H9/H10*1000</f>
        <v>60532.54</v>
      </c>
      <c r="I11" s="74" t="s">
        <v>66</v>
      </c>
    </row>
    <row r="12" spans="1:9" s="75" customFormat="1" ht="13.5">
      <c r="A12" s="120"/>
      <c r="B12" s="76"/>
      <c r="C12" s="76"/>
      <c r="D12" s="76"/>
      <c r="E12" s="76"/>
      <c r="F12" s="76"/>
      <c r="G12" s="77"/>
      <c r="H12" s="76"/>
      <c r="I12" s="76"/>
    </row>
    <row r="13" spans="1:9" s="75" customFormat="1" ht="13.5">
      <c r="A13" s="120"/>
      <c r="C13" s="77"/>
      <c r="D13" s="78" t="s">
        <v>27</v>
      </c>
      <c r="E13" s="78"/>
      <c r="F13" s="78"/>
      <c r="G13" s="78"/>
      <c r="H13" s="78"/>
      <c r="I13" s="78"/>
    </row>
    <row r="14" spans="1:9" ht="15.75">
      <c r="B14" s="62"/>
      <c r="C14" s="62"/>
      <c r="D14" s="63"/>
      <c r="E14" s="63"/>
      <c r="F14" s="63"/>
      <c r="G14" s="36"/>
      <c r="H14" s="34"/>
      <c r="I14" s="62"/>
    </row>
    <row r="15" spans="1:9" ht="15" customHeight="1">
      <c r="B15" s="319" t="s">
        <v>16</v>
      </c>
      <c r="C15" s="319" t="s">
        <v>67</v>
      </c>
      <c r="D15" s="319" t="s">
        <v>68</v>
      </c>
      <c r="E15" s="319" t="s">
        <v>17</v>
      </c>
      <c r="F15" s="319"/>
      <c r="G15" s="319"/>
      <c r="H15" s="319"/>
      <c r="I15" s="319"/>
    </row>
    <row r="16" spans="1:9" ht="88.5" customHeight="1">
      <c r="B16" s="319"/>
      <c r="C16" s="319"/>
      <c r="D16" s="319"/>
      <c r="E16" s="79" t="s">
        <v>69</v>
      </c>
      <c r="F16" s="80" t="s">
        <v>15</v>
      </c>
      <c r="G16" s="80" t="s">
        <v>70</v>
      </c>
      <c r="H16" s="80" t="s">
        <v>71</v>
      </c>
      <c r="I16" s="80" t="s">
        <v>18</v>
      </c>
    </row>
    <row r="17" spans="1:9">
      <c r="B17" s="11" t="s">
        <v>19</v>
      </c>
      <c r="C17" s="11" t="s">
        <v>20</v>
      </c>
      <c r="D17" s="11" t="s">
        <v>21</v>
      </c>
      <c r="E17" s="11" t="s">
        <v>22</v>
      </c>
      <c r="F17" s="11" t="s">
        <v>23</v>
      </c>
      <c r="G17" s="11" t="s">
        <v>24</v>
      </c>
      <c r="H17" s="11" t="s">
        <v>25</v>
      </c>
      <c r="I17" s="11" t="s">
        <v>26</v>
      </c>
    </row>
    <row r="18" spans="1:9" s="83" customFormat="1" ht="32.25" customHeight="1">
      <c r="A18" s="121"/>
      <c r="B18" s="81">
        <v>1</v>
      </c>
      <c r="C18" s="81" t="s">
        <v>85</v>
      </c>
      <c r="D18" s="85" t="s">
        <v>148</v>
      </c>
      <c r="E18" s="90">
        <v>0.42</v>
      </c>
      <c r="F18" s="90"/>
      <c r="G18" s="90"/>
      <c r="H18" s="90"/>
      <c r="I18" s="97">
        <f>SUM(E18:H18)</f>
        <v>0.42</v>
      </c>
    </row>
    <row r="19" spans="1:9" s="83" customFormat="1" ht="27.75" customHeight="1">
      <c r="A19" s="121"/>
      <c r="B19" s="81">
        <f>B18+1</f>
        <v>2</v>
      </c>
      <c r="C19" s="81" t="s">
        <v>86</v>
      </c>
      <c r="D19" s="85" t="s">
        <v>149</v>
      </c>
      <c r="E19" s="90">
        <v>9.32</v>
      </c>
      <c r="F19" s="90"/>
      <c r="G19" s="90"/>
      <c r="H19" s="90"/>
      <c r="I19" s="97">
        <f>SUM(E19:H19)</f>
        <v>9.32</v>
      </c>
    </row>
    <row r="20" spans="1:9" s="83" customFormat="1" ht="20.100000000000001" customHeight="1">
      <c r="A20" s="56"/>
      <c r="B20" s="86"/>
      <c r="C20" s="93"/>
      <c r="D20" s="87" t="s">
        <v>60</v>
      </c>
      <c r="E20" s="91">
        <f>SUM(E18:E19)</f>
        <v>9.74</v>
      </c>
      <c r="F20" s="91">
        <f>SUM(F18:F19)</f>
        <v>0</v>
      </c>
      <c r="G20" s="91">
        <f>SUM(G18:G19)</f>
        <v>0</v>
      </c>
      <c r="H20" s="91">
        <f>SUM(H18:H19)</f>
        <v>0</v>
      </c>
      <c r="I20" s="91">
        <f>SUM(I18:I19)</f>
        <v>9.74</v>
      </c>
    </row>
    <row r="21" spans="1:9" s="83" customFormat="1" ht="96" customHeight="1">
      <c r="A21" s="31">
        <f>ИД!$G$25%</f>
        <v>1.9199999999999998E-2</v>
      </c>
      <c r="B21" s="86">
        <f>B19+1</f>
        <v>3</v>
      </c>
      <c r="C21" s="88" t="str">
        <f>ИД!$A$25</f>
        <v>Методика утв. Приказом Минстрой РФ от 19.06.20г. №332/пр, Приложение 1, п.53</v>
      </c>
      <c r="D21" s="89" t="str">
        <f>CONCATENATE(ИД!$B$25," - ",ИД!$D$25,ИД!$E$25,"х",ИД!$F$25,"=",ИД!$G$25,ИД!$E$25)</f>
        <v>Временные здания и сооружения (Объекты непроизводственного значения:Сети газо-,тепло-, водоснабжения и водоотведения(очистные сооружения,насосные станции и т.п.) в черте города) - 2,4%х0,8=1,92%</v>
      </c>
      <c r="E21" s="90">
        <f>E20*A21</f>
        <v>0.19</v>
      </c>
      <c r="F21" s="90"/>
      <c r="G21" s="91"/>
      <c r="H21" s="91"/>
      <c r="I21" s="90">
        <f>SUM(E21:H21)</f>
        <v>0.19</v>
      </c>
    </row>
    <row r="22" spans="1:9" s="83" customFormat="1" ht="20.100000000000001" customHeight="1">
      <c r="A22" s="56"/>
      <c r="B22" s="84"/>
      <c r="C22" s="84"/>
      <c r="D22" s="87" t="s">
        <v>60</v>
      </c>
      <c r="E22" s="91">
        <f>SUM(E20:E21)</f>
        <v>9.93</v>
      </c>
      <c r="F22" s="91">
        <f t="shared" ref="F22:I22" si="0">SUM(F20:F21)</f>
        <v>0</v>
      </c>
      <c r="G22" s="91">
        <f t="shared" si="0"/>
        <v>0</v>
      </c>
      <c r="H22" s="91">
        <f t="shared" si="0"/>
        <v>0</v>
      </c>
      <c r="I22" s="91">
        <f t="shared" si="0"/>
        <v>9.93</v>
      </c>
    </row>
    <row r="23" spans="1:9" s="83" customFormat="1" ht="67.5">
      <c r="A23" s="136">
        <f>ИД!$E$37</f>
        <v>0.03</v>
      </c>
      <c r="B23" s="86">
        <f>B21+1</f>
        <v>4</v>
      </c>
      <c r="C23" s="88" t="str">
        <f>ИД!$A$37</f>
        <v>Методика утв. Приказом Минстрой РФ от 04.08.2020г. №421/пр п.179</v>
      </c>
      <c r="D23" s="89" t="str">
        <f>CONCATENATE(ИД!$B$37," - ","3%",)</f>
        <v>Непредвиденные работы и затраты - 3%</v>
      </c>
      <c r="E23" s="90">
        <f>E22*A23</f>
        <v>0.3</v>
      </c>
      <c r="F23" s="90">
        <f>F22*A23</f>
        <v>0</v>
      </c>
      <c r="G23" s="90"/>
      <c r="H23" s="90"/>
      <c r="I23" s="90">
        <f>SUM(E23:H23)</f>
        <v>0.3</v>
      </c>
    </row>
    <row r="24" spans="1:9" s="83" customFormat="1" ht="20.100000000000001" customHeight="1">
      <c r="A24" s="56"/>
      <c r="B24" s="95"/>
      <c r="C24" s="96"/>
      <c r="D24" s="95" t="s">
        <v>61</v>
      </c>
      <c r="E24" s="91">
        <f>SUM(E22:E23)</f>
        <v>10.23</v>
      </c>
      <c r="F24" s="91">
        <f>SUM(F23:F23)</f>
        <v>0</v>
      </c>
      <c r="G24" s="91">
        <f>SUM(G23:G23)</f>
        <v>0</v>
      </c>
      <c r="H24" s="91">
        <f>SUM(H23:H23)</f>
        <v>0</v>
      </c>
      <c r="I24" s="91">
        <f>SUM(I22:I23)</f>
        <v>10.23</v>
      </c>
    </row>
    <row r="26" spans="1:9" s="64" customFormat="1">
      <c r="A26" s="120"/>
      <c r="C26" s="94"/>
    </row>
    <row r="27" spans="1:9" s="64" customFormat="1">
      <c r="A27" s="120"/>
      <c r="C27" s="94"/>
      <c r="D27" s="13" t="s">
        <v>30</v>
      </c>
      <c r="G27" s="64" t="str">
        <f>ИД!B7</f>
        <v>Н.В.Петров</v>
      </c>
    </row>
    <row r="28" spans="1:9" s="64" customFormat="1">
      <c r="A28" s="120"/>
      <c r="C28" s="94"/>
      <c r="D28" s="14"/>
    </row>
    <row r="29" spans="1:9" s="64" customFormat="1">
      <c r="A29" s="120"/>
      <c r="C29" s="94"/>
      <c r="D29" s="15" t="str">
        <f>ИД!$A$8</f>
        <v>Составил</v>
      </c>
      <c r="G29" s="64" t="str">
        <f>ИД!$B$8</f>
        <v>А.В.Исаев</v>
      </c>
    </row>
    <row r="30" spans="1:9" s="64" customFormat="1">
      <c r="A30" s="120"/>
      <c r="C30" s="94"/>
      <c r="D30" s="15"/>
    </row>
    <row r="31" spans="1:9" s="64" customFormat="1">
      <c r="A31" s="120"/>
      <c r="C31" s="94"/>
      <c r="D31" s="15" t="str">
        <f>ИД!$A$9</f>
        <v>Проверил</v>
      </c>
      <c r="E31" s="65"/>
      <c r="G31" s="64" t="str">
        <f>ИД!$B$9</f>
        <v>Н.В.Петров</v>
      </c>
    </row>
    <row r="32" spans="1:9" s="64" customFormat="1">
      <c r="A32" s="120"/>
      <c r="C32" s="94"/>
      <c r="D32" s="16"/>
    </row>
    <row r="33" spans="1:3" s="64" customFormat="1">
      <c r="A33" s="120"/>
      <c r="C33" s="94"/>
    </row>
  </sheetData>
  <mergeCells count="12">
    <mergeCell ref="B1:I1"/>
    <mergeCell ref="B2:I2"/>
    <mergeCell ref="B5:I5"/>
    <mergeCell ref="B15:B16"/>
    <mergeCell ref="C15:C16"/>
    <mergeCell ref="D15:D16"/>
    <mergeCell ref="E15:I15"/>
    <mergeCell ref="B4:I4"/>
    <mergeCell ref="D7:H7"/>
    <mergeCell ref="D9:G9"/>
    <mergeCell ref="D10:G10"/>
    <mergeCell ref="D11:G11"/>
  </mergeCells>
  <printOptions horizontalCentered="1"/>
  <pageMargins left="0.51181102362204722" right="0.19685039370078741" top="0.39370078740157483" bottom="0.19685039370078741" header="0.31496062992125984" footer="0.31496062992125984"/>
  <pageSetup paperSize="9" scale="7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8"/>
  <sheetViews>
    <sheetView showZeros="0" view="pageBreakPreview" zoomScaleNormal="100" zoomScaleSheetLayoutView="100" workbookViewId="0">
      <selection activeCell="K21" sqref="K21"/>
    </sheetView>
  </sheetViews>
  <sheetFormatPr defaultRowHeight="15"/>
  <cols>
    <col min="1" max="1" width="7" style="22" customWidth="1"/>
    <col min="2" max="2" width="5.7109375" style="32" customWidth="1"/>
    <col min="3" max="3" width="15.7109375" style="32" customWidth="1"/>
    <col min="4" max="4" width="39.7109375" style="32" customWidth="1"/>
    <col min="5" max="5" width="16.28515625" style="32" customWidth="1"/>
    <col min="6" max="6" width="11.7109375" style="32" customWidth="1"/>
    <col min="7" max="8" width="12.7109375" style="32" customWidth="1"/>
    <col min="9" max="9" width="14.7109375" style="32" customWidth="1"/>
    <col min="10" max="16384" width="9.140625" style="32"/>
  </cols>
  <sheetData>
    <row r="1" spans="1:9">
      <c r="B1" s="314" t="str">
        <f>CONCATENATE(ИД!$B$10,ИД!$C$11)</f>
        <v>«Реконструкция распределительных и квартальных тепловых сетей г. Благовещенска Амурской области» Объект 8 (Тепловые сети по ул. Кантемирова от ТК-3М (смотровая) до ТК-5М L= 45,25 м D= 325 мм, L= 123,45 м D= 273 мм)</v>
      </c>
      <c r="C1" s="314"/>
      <c r="D1" s="314"/>
      <c r="E1" s="314"/>
      <c r="F1" s="314"/>
      <c r="G1" s="314"/>
      <c r="H1" s="314"/>
      <c r="I1" s="314"/>
    </row>
    <row r="2" spans="1:9">
      <c r="B2" s="315" t="s">
        <v>12</v>
      </c>
      <c r="C2" s="315"/>
      <c r="D2" s="315"/>
      <c r="E2" s="315"/>
      <c r="F2" s="315"/>
      <c r="G2" s="315"/>
      <c r="H2" s="315"/>
      <c r="I2" s="315"/>
    </row>
    <row r="4" spans="1:9" ht="15.75">
      <c r="B4" s="316" t="s">
        <v>89</v>
      </c>
      <c r="C4" s="316"/>
      <c r="D4" s="316"/>
      <c r="E4" s="316"/>
      <c r="F4" s="316"/>
      <c r="G4" s="316"/>
      <c r="H4" s="316"/>
      <c r="I4" s="316"/>
    </row>
    <row r="5" spans="1:9" ht="15.75">
      <c r="B5" s="316" t="s">
        <v>100</v>
      </c>
      <c r="C5" s="316"/>
      <c r="D5" s="316"/>
      <c r="E5" s="316"/>
      <c r="F5" s="316"/>
      <c r="G5" s="316"/>
      <c r="H5" s="316"/>
      <c r="I5" s="316"/>
    </row>
    <row r="6" spans="1:9" ht="15.75">
      <c r="B6" s="132"/>
      <c r="C6" s="132"/>
      <c r="D6" s="132"/>
      <c r="E6" s="132"/>
      <c r="F6" s="132"/>
      <c r="G6" s="132"/>
      <c r="H6" s="132"/>
      <c r="I6" s="132"/>
    </row>
    <row r="7" spans="1:9" s="67" customFormat="1" ht="13.5">
      <c r="A7" s="122"/>
      <c r="B7" s="68"/>
      <c r="C7" s="68"/>
      <c r="D7" s="317" t="s">
        <v>62</v>
      </c>
      <c r="E7" s="317"/>
      <c r="F7" s="317"/>
      <c r="G7" s="317"/>
      <c r="H7" s="317"/>
      <c r="I7" s="68"/>
    </row>
    <row r="8" spans="1:9" s="67" customFormat="1" ht="13.5">
      <c r="A8" s="122"/>
      <c r="B8" s="69"/>
      <c r="C8" s="69"/>
      <c r="D8" s="70"/>
      <c r="E8" s="69"/>
      <c r="F8" s="69"/>
      <c r="G8" s="69"/>
      <c r="H8" s="69"/>
      <c r="I8" s="69"/>
    </row>
    <row r="9" spans="1:9" s="67" customFormat="1" ht="15" customHeight="1">
      <c r="A9" s="122"/>
      <c r="B9" s="69"/>
      <c r="C9" s="68"/>
      <c r="D9" s="313" t="s">
        <v>63</v>
      </c>
      <c r="E9" s="313"/>
      <c r="F9" s="313"/>
      <c r="G9" s="313"/>
      <c r="H9" s="71">
        <f>I28</f>
        <v>0</v>
      </c>
      <c r="I9" s="72" t="s">
        <v>28</v>
      </c>
    </row>
    <row r="10" spans="1:9" s="67" customFormat="1" ht="32.1" customHeight="1">
      <c r="A10" s="122"/>
      <c r="B10" s="69"/>
      <c r="C10" s="68"/>
      <c r="D10" s="318" t="s">
        <v>64</v>
      </c>
      <c r="E10" s="318"/>
      <c r="F10" s="318"/>
      <c r="G10" s="318"/>
      <c r="H10" s="73" t="e">
        <f>ИД!#REF!</f>
        <v>#REF!</v>
      </c>
      <c r="I10" s="99" t="e">
        <f>ИД!#REF!</f>
        <v>#REF!</v>
      </c>
    </row>
    <row r="11" spans="1:9" s="67" customFormat="1" ht="32.1" customHeight="1">
      <c r="A11" s="122"/>
      <c r="B11" s="69"/>
      <c r="C11" s="68"/>
      <c r="D11" s="318" t="s">
        <v>65</v>
      </c>
      <c r="E11" s="318"/>
      <c r="F11" s="318"/>
      <c r="G11" s="318"/>
      <c r="H11" s="73" t="e">
        <f>H9/H10*1000</f>
        <v>#REF!</v>
      </c>
      <c r="I11" s="134" t="s">
        <v>66</v>
      </c>
    </row>
    <row r="12" spans="1:9" s="75" customFormat="1" ht="13.5">
      <c r="A12" s="123"/>
      <c r="B12" s="76"/>
      <c r="C12" s="76"/>
      <c r="D12" s="76"/>
      <c r="E12" s="76"/>
      <c r="F12" s="76"/>
      <c r="G12" s="77"/>
      <c r="H12" s="76"/>
      <c r="I12" s="76"/>
    </row>
    <row r="13" spans="1:9" s="75" customFormat="1" ht="13.5">
      <c r="A13" s="123"/>
      <c r="C13" s="77"/>
      <c r="D13" s="78" t="s">
        <v>27</v>
      </c>
      <c r="E13" s="78"/>
      <c r="F13" s="78"/>
      <c r="G13" s="78"/>
      <c r="H13" s="78"/>
      <c r="I13" s="78"/>
    </row>
    <row r="14" spans="1:9" ht="15.75">
      <c r="B14" s="132"/>
      <c r="C14" s="132"/>
      <c r="D14" s="63"/>
      <c r="E14" s="63"/>
      <c r="F14" s="63"/>
      <c r="G14" s="36"/>
      <c r="H14" s="34"/>
      <c r="I14" s="132"/>
    </row>
    <row r="15" spans="1:9" ht="15" customHeight="1">
      <c r="B15" s="319" t="s">
        <v>16</v>
      </c>
      <c r="C15" s="319" t="s">
        <v>67</v>
      </c>
      <c r="D15" s="319" t="s">
        <v>68</v>
      </c>
      <c r="E15" s="319" t="s">
        <v>17</v>
      </c>
      <c r="F15" s="319"/>
      <c r="G15" s="319"/>
      <c r="H15" s="319"/>
      <c r="I15" s="319"/>
    </row>
    <row r="16" spans="1:9" ht="85.5" customHeight="1">
      <c r="B16" s="319"/>
      <c r="C16" s="319"/>
      <c r="D16" s="319"/>
      <c r="E16" s="79" t="s">
        <v>69</v>
      </c>
      <c r="F16" s="133" t="s">
        <v>15</v>
      </c>
      <c r="G16" s="133" t="s">
        <v>70</v>
      </c>
      <c r="H16" s="133" t="s">
        <v>71</v>
      </c>
      <c r="I16" s="133" t="s">
        <v>18</v>
      </c>
    </row>
    <row r="17" spans="1:9">
      <c r="B17" s="11" t="s">
        <v>19</v>
      </c>
      <c r="C17" s="11" t="s">
        <v>20</v>
      </c>
      <c r="D17" s="11" t="s">
        <v>21</v>
      </c>
      <c r="E17" s="11" t="s">
        <v>22</v>
      </c>
      <c r="F17" s="11" t="s">
        <v>23</v>
      </c>
      <c r="G17" s="11" t="s">
        <v>24</v>
      </c>
      <c r="H17" s="11" t="s">
        <v>25</v>
      </c>
      <c r="I17" s="11" t="s">
        <v>26</v>
      </c>
    </row>
    <row r="18" spans="1:9" s="75" customFormat="1" ht="20.25" customHeight="1">
      <c r="A18" s="123"/>
      <c r="B18" s="81">
        <v>1</v>
      </c>
      <c r="C18" s="81" t="s">
        <v>90</v>
      </c>
      <c r="D18" s="82" t="s">
        <v>96</v>
      </c>
      <c r="E18" s="98">
        <v>0</v>
      </c>
      <c r="F18" s="98"/>
      <c r="G18" s="98"/>
      <c r="H18" s="98"/>
      <c r="I18" s="98">
        <f>SUM(E18:H18)</f>
        <v>0</v>
      </c>
    </row>
    <row r="19" spans="1:9" s="75" customFormat="1" ht="20.25" customHeight="1">
      <c r="A19" s="123"/>
      <c r="B19" s="81">
        <f>B18+1</f>
        <v>2</v>
      </c>
      <c r="C19" s="81" t="s">
        <v>91</v>
      </c>
      <c r="D19" s="82" t="s">
        <v>97</v>
      </c>
      <c r="E19" s="98">
        <v>0</v>
      </c>
      <c r="F19" s="98"/>
      <c r="G19" s="98"/>
      <c r="H19" s="98"/>
      <c r="I19" s="98">
        <f t="shared" ref="I19:I21" si="0">SUM(E19:H19)</f>
        <v>0</v>
      </c>
    </row>
    <row r="20" spans="1:9" s="75" customFormat="1" ht="20.25" customHeight="1">
      <c r="A20" s="123"/>
      <c r="B20" s="81">
        <f t="shared" ref="B20:B21" si="1">B19+1</f>
        <v>3</v>
      </c>
      <c r="C20" s="81" t="s">
        <v>92</v>
      </c>
      <c r="D20" s="82" t="s">
        <v>95</v>
      </c>
      <c r="E20" s="98">
        <v>0</v>
      </c>
      <c r="F20" s="98">
        <v>0</v>
      </c>
      <c r="G20" s="98"/>
      <c r="H20" s="98"/>
      <c r="I20" s="98">
        <f t="shared" si="0"/>
        <v>0</v>
      </c>
    </row>
    <row r="21" spans="1:9" s="75" customFormat="1" ht="20.25" customHeight="1">
      <c r="A21" s="123"/>
      <c r="B21" s="81">
        <f t="shared" si="1"/>
        <v>4</v>
      </c>
      <c r="C21" s="81" t="s">
        <v>93</v>
      </c>
      <c r="D21" s="82" t="s">
        <v>99</v>
      </c>
      <c r="E21" s="98">
        <v>0</v>
      </c>
      <c r="F21" s="98">
        <v>0</v>
      </c>
      <c r="G21" s="98">
        <v>0</v>
      </c>
      <c r="H21" s="98"/>
      <c r="I21" s="98">
        <f t="shared" si="0"/>
        <v>0</v>
      </c>
    </row>
    <row r="22" spans="1:9" s="128" customFormat="1" ht="15" customHeight="1">
      <c r="A22" s="124"/>
      <c r="B22" s="125"/>
      <c r="C22" s="125"/>
      <c r="D22" s="126" t="s">
        <v>60</v>
      </c>
      <c r="E22" s="127">
        <f>SUM(E18:E21)</f>
        <v>0</v>
      </c>
      <c r="F22" s="127">
        <f>SUM(F18:F21)</f>
        <v>0</v>
      </c>
      <c r="G22" s="127">
        <f>SUM(G18:G21)</f>
        <v>0</v>
      </c>
      <c r="H22" s="127">
        <f>SUM(H18:H21)</f>
        <v>0</v>
      </c>
      <c r="I22" s="127">
        <f>SUM(I18:I21)</f>
        <v>0</v>
      </c>
    </row>
    <row r="23" spans="1:9" s="83" customFormat="1" ht="81">
      <c r="A23" s="31">
        <f>ИД!$G$25%</f>
        <v>1.9199999999999998E-2</v>
      </c>
      <c r="B23" s="86">
        <f>B21+1</f>
        <v>5</v>
      </c>
      <c r="C23" s="129" t="str">
        <f>ИД!$A$25</f>
        <v>Методика утв. Приказом Минстрой РФ от 19.06.20г. №332/пр, Приложение 1, п.53</v>
      </c>
      <c r="D23" s="89" t="str">
        <f>CONCATENATE(ИД!$B$25," - ",ИД!$D$25,ИД!$E$25,"х",ИД!$F$25,"=",ИД!$G$25,ИД!$E$25)</f>
        <v>Временные здания и сооружения (Объекты непроизводственного значения:Сети газо-,тепло-, водоснабжения и водоотведения(очистные сооружения,насосные станции и т.п.) в черте города) - 2,4%х0,8=1,92%</v>
      </c>
      <c r="E23" s="90">
        <f>E22*$A$23</f>
        <v>0</v>
      </c>
      <c r="F23" s="90">
        <f>F22*A23</f>
        <v>0</v>
      </c>
      <c r="G23" s="90"/>
      <c r="H23" s="91"/>
      <c r="I23" s="90">
        <f>SUM(E23:H23)</f>
        <v>0</v>
      </c>
    </row>
    <row r="24" spans="1:9" s="83" customFormat="1" ht="18" customHeight="1">
      <c r="A24" s="22"/>
      <c r="B24" s="84"/>
      <c r="C24" s="84"/>
      <c r="D24" s="87" t="s">
        <v>60</v>
      </c>
      <c r="E24" s="91">
        <f>SUM(E22:E23)</f>
        <v>0</v>
      </c>
      <c r="F24" s="91">
        <f t="shared" ref="F24:I24" si="2">SUM(F22:F23)</f>
        <v>0</v>
      </c>
      <c r="G24" s="91">
        <f t="shared" si="2"/>
        <v>0</v>
      </c>
      <c r="H24" s="91">
        <f t="shared" si="2"/>
        <v>0</v>
      </c>
      <c r="I24" s="91">
        <f t="shared" si="2"/>
        <v>0</v>
      </c>
    </row>
    <row r="25" spans="1:9" s="83" customFormat="1" ht="13.5">
      <c r="A25" s="167">
        <v>0.1125</v>
      </c>
      <c r="B25" s="86">
        <f>B23+1</f>
        <v>6</v>
      </c>
      <c r="C25" s="88" t="e">
        <f>ИД!#REF!</f>
        <v>#REF!</v>
      </c>
      <c r="D25" s="92" t="e">
        <f>CONCATENATE(ИД!#REF!," - ",ИД!#REF!,ИД!#REF!,"*",0.9,"=",11.25,"%")</f>
        <v>#REF!</v>
      </c>
      <c r="E25" s="90">
        <f>E24*A25</f>
        <v>0</v>
      </c>
      <c r="F25" s="137">
        <f>F24*A25</f>
        <v>0</v>
      </c>
      <c r="G25" s="84"/>
      <c r="H25" s="84"/>
      <c r="I25" s="90">
        <f>SUM(E25:H25)</f>
        <v>0</v>
      </c>
    </row>
    <row r="26" spans="1:9" s="83" customFormat="1" ht="18" customHeight="1">
      <c r="A26" s="28"/>
      <c r="B26" s="86"/>
      <c r="C26" s="93"/>
      <c r="D26" s="87" t="s">
        <v>60</v>
      </c>
      <c r="E26" s="91">
        <f>SUM(E24:E25)</f>
        <v>0</v>
      </c>
      <c r="F26" s="91">
        <f>SUM(F24:F25)</f>
        <v>0</v>
      </c>
      <c r="G26" s="91">
        <f>SUM(G24:G25)</f>
        <v>0</v>
      </c>
      <c r="H26" s="91">
        <f>SUM(H24:H25)</f>
        <v>0</v>
      </c>
      <c r="I26" s="91">
        <f>SUM(I24:I25)</f>
        <v>0</v>
      </c>
    </row>
    <row r="27" spans="1:9" s="83" customFormat="1" ht="60">
      <c r="A27" s="31">
        <f>ИД!$E$37</f>
        <v>0.03</v>
      </c>
      <c r="B27" s="86">
        <f>B25+1</f>
        <v>7</v>
      </c>
      <c r="C27" s="129" t="str">
        <f>ИД!$A$37</f>
        <v>Методика утв. Приказом Минстрой РФ от 04.08.2020г. №421/пр п.179</v>
      </c>
      <c r="D27" s="89" t="str">
        <f>CONCATENATE(ИД!$B$37," - ","1,5%",)</f>
        <v>Непредвиденные работы и затраты - 1,5%</v>
      </c>
      <c r="E27" s="90">
        <f>E26*$A$27</f>
        <v>0</v>
      </c>
      <c r="F27" s="90">
        <f t="shared" ref="F27:H27" si="3">F26*$A$27</f>
        <v>0</v>
      </c>
      <c r="G27" s="90">
        <f>G26*$A$27</f>
        <v>0</v>
      </c>
      <c r="H27" s="90">
        <f t="shared" si="3"/>
        <v>0</v>
      </c>
      <c r="I27" s="90">
        <f>SUM(E27:H27)</f>
        <v>0</v>
      </c>
    </row>
    <row r="28" spans="1:9" s="83" customFormat="1" ht="20.100000000000001" customHeight="1">
      <c r="A28" s="22"/>
      <c r="B28" s="95"/>
      <c r="C28" s="95"/>
      <c r="D28" s="95" t="s">
        <v>61</v>
      </c>
      <c r="E28" s="100">
        <f>SUM(E26:E27)</f>
        <v>0</v>
      </c>
      <c r="F28" s="100">
        <f t="shared" ref="F28:I28" si="4">SUM(F26:F27)</f>
        <v>0</v>
      </c>
      <c r="G28" s="100">
        <f t="shared" si="4"/>
        <v>0</v>
      </c>
      <c r="H28" s="100">
        <f t="shared" si="4"/>
        <v>0</v>
      </c>
      <c r="I28" s="100">
        <f t="shared" si="4"/>
        <v>0</v>
      </c>
    </row>
    <row r="29" spans="1:9" s="22" customFormat="1" ht="12.75"/>
    <row r="31" spans="1:9" s="64" customFormat="1">
      <c r="A31" s="123"/>
      <c r="D31" s="13" t="s">
        <v>30</v>
      </c>
      <c r="G31" s="64" t="str">
        <f>ИД!$B$7</f>
        <v>Н.В.Петров</v>
      </c>
    </row>
    <row r="32" spans="1:9" s="64" customFormat="1">
      <c r="A32" s="123"/>
      <c r="D32" s="14"/>
    </row>
    <row r="33" spans="1:7" s="64" customFormat="1">
      <c r="A33" s="123"/>
      <c r="D33" s="64" t="e">
        <f>ИД!#REF!</f>
        <v>#REF!</v>
      </c>
      <c r="G33" s="64" t="e">
        <f>ИД!#REF!</f>
        <v>#REF!</v>
      </c>
    </row>
    <row r="34" spans="1:7" s="64" customFormat="1">
      <c r="A34" s="123"/>
      <c r="D34" s="15"/>
    </row>
    <row r="35" spans="1:7" s="64" customFormat="1">
      <c r="A35" s="123"/>
      <c r="D35" s="15" t="str">
        <f>ИД!$A$8</f>
        <v>Составил</v>
      </c>
      <c r="G35" s="64" t="str">
        <f>ИД!$B$8</f>
        <v>А.В.Исаев</v>
      </c>
    </row>
    <row r="36" spans="1:7" s="64" customFormat="1">
      <c r="A36" s="123"/>
      <c r="D36" s="15"/>
    </row>
    <row r="37" spans="1:7" s="64" customFormat="1">
      <c r="A37" s="123"/>
      <c r="D37" s="15" t="str">
        <f>ИД!$A$9</f>
        <v>Проверил</v>
      </c>
      <c r="E37" s="65"/>
      <c r="G37" s="64" t="str">
        <f>ИД!$B$9</f>
        <v>Н.В.Петров</v>
      </c>
    </row>
    <row r="38" spans="1:7" s="64" customFormat="1">
      <c r="A38" s="123"/>
      <c r="D38" s="16"/>
    </row>
  </sheetData>
  <mergeCells count="12">
    <mergeCell ref="D9:G9"/>
    <mergeCell ref="B1:I1"/>
    <mergeCell ref="B2:I2"/>
    <mergeCell ref="B4:I4"/>
    <mergeCell ref="B5:I5"/>
    <mergeCell ref="D7:H7"/>
    <mergeCell ref="D10:G10"/>
    <mergeCell ref="D11:G11"/>
    <mergeCell ref="B15:B16"/>
    <mergeCell ref="C15:C16"/>
    <mergeCell ref="D15:D16"/>
    <mergeCell ref="E15:I15"/>
  </mergeCells>
  <printOptions horizontalCentered="1"/>
  <pageMargins left="0.51181102362204722" right="0.19685039370078741" top="0.39370078740157483" bottom="0.19685039370078741" header="0.31496062992125984" footer="0.31496062992125984"/>
  <pageSetup paperSize="9" scale="74" orientation="portrait" r:id="rId1"/>
  <drawing r:id="rId2"/>
  <legacyDrawing r:id="rId3"/>
  <oleObjects>
    <mc:AlternateContent xmlns:mc="http://schemas.openxmlformats.org/markup-compatibility/2006">
      <mc:Choice Requires="x14">
        <oleObject progId="Visio.Drawing.11" shapeId="8193" r:id="rId4">
          <objectPr defaultSize="0" autoPict="0" r:id="rId5">
            <anchor moveWithCells="1" sizeWithCells="1">
              <from>
                <xdr:col>4</xdr:col>
                <xdr:colOff>361950</xdr:colOff>
                <xdr:row>33</xdr:row>
                <xdr:rowOff>104775</xdr:rowOff>
              </from>
              <to>
                <xdr:col>4</xdr:col>
                <xdr:colOff>904875</xdr:colOff>
                <xdr:row>35</xdr:row>
                <xdr:rowOff>95250</xdr:rowOff>
              </to>
            </anchor>
          </objectPr>
        </oleObject>
      </mc:Choice>
      <mc:Fallback>
        <oleObject progId="Visio.Drawing.11" shapeId="8193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view="pageBreakPreview" topLeftCell="A8" zoomScaleNormal="100" zoomScaleSheetLayoutView="100" workbookViewId="0">
      <selection activeCell="M18" sqref="M18"/>
    </sheetView>
  </sheetViews>
  <sheetFormatPr defaultRowHeight="15"/>
  <cols>
    <col min="1" max="1" width="7.5703125" style="56" bestFit="1" customWidth="1"/>
    <col min="2" max="2" width="5.7109375" style="32" customWidth="1"/>
    <col min="3" max="3" width="15.7109375" style="36" customWidth="1"/>
    <col min="4" max="4" width="39.7109375" style="32" customWidth="1"/>
    <col min="5" max="5" width="16.28515625" style="32" customWidth="1"/>
    <col min="6" max="6" width="11.7109375" style="32" customWidth="1"/>
    <col min="7" max="8" width="12.7109375" style="32" customWidth="1"/>
    <col min="9" max="9" width="14.7109375" style="32" customWidth="1"/>
    <col min="10" max="16384" width="9.140625" style="32"/>
  </cols>
  <sheetData>
    <row r="1" spans="1:9" ht="30.75" customHeight="1">
      <c r="B1" s="314" t="str">
        <f>CONCATENATE(ИД!$B$10,ИД!$C$11)</f>
        <v>«Реконструкция распределительных и квартальных тепловых сетей г. Благовещенска Амурской области» Объект 8 (Тепловые сети по ул. Кантемирова от ТК-3М (смотровая) до ТК-5М L= 45,25 м D= 325 мм, L= 123,45 м D= 273 мм)</v>
      </c>
      <c r="C1" s="314"/>
      <c r="D1" s="314"/>
      <c r="E1" s="314"/>
      <c r="F1" s="314"/>
      <c r="G1" s="314"/>
      <c r="H1" s="314"/>
      <c r="I1" s="314"/>
    </row>
    <row r="2" spans="1:9" s="40" customFormat="1">
      <c r="A2" s="118"/>
      <c r="B2" s="315" t="s">
        <v>12</v>
      </c>
      <c r="C2" s="315"/>
      <c r="D2" s="315"/>
      <c r="E2" s="315"/>
      <c r="F2" s="315"/>
      <c r="G2" s="315"/>
      <c r="H2" s="315"/>
      <c r="I2" s="315"/>
    </row>
    <row r="4" spans="1:9" ht="15.75">
      <c r="B4" s="316" t="s">
        <v>173</v>
      </c>
      <c r="C4" s="316"/>
      <c r="D4" s="316"/>
      <c r="E4" s="316"/>
      <c r="F4" s="316"/>
      <c r="G4" s="316"/>
      <c r="H4" s="316"/>
      <c r="I4" s="316"/>
    </row>
    <row r="5" spans="1:9" ht="15.75">
      <c r="B5" s="316" t="s">
        <v>169</v>
      </c>
      <c r="C5" s="316"/>
      <c r="D5" s="316"/>
      <c r="E5" s="316"/>
      <c r="F5" s="316"/>
      <c r="G5" s="316"/>
      <c r="H5" s="316"/>
      <c r="I5" s="316"/>
    </row>
    <row r="6" spans="1:9" ht="15.75">
      <c r="B6" s="263"/>
      <c r="C6" s="263"/>
      <c r="D6" s="263"/>
      <c r="E6" s="263"/>
      <c r="F6" s="263"/>
      <c r="G6" s="263"/>
      <c r="H6" s="263"/>
      <c r="I6" s="263"/>
    </row>
    <row r="7" spans="1:9" s="67" customFormat="1" ht="13.5">
      <c r="A7" s="119"/>
      <c r="B7" s="68"/>
      <c r="C7" s="68"/>
      <c r="D7" s="317" t="s">
        <v>62</v>
      </c>
      <c r="E7" s="317"/>
      <c r="F7" s="317"/>
      <c r="G7" s="317"/>
      <c r="H7" s="317"/>
      <c r="I7" s="68"/>
    </row>
    <row r="8" spans="1:9" s="67" customFormat="1" ht="13.5">
      <c r="A8" s="119"/>
      <c r="B8" s="69"/>
      <c r="C8" s="69"/>
      <c r="D8" s="70"/>
      <c r="E8" s="69"/>
      <c r="F8" s="69"/>
      <c r="G8" s="69"/>
      <c r="H8" s="69"/>
      <c r="I8" s="69"/>
    </row>
    <row r="9" spans="1:9" s="67" customFormat="1" ht="15" customHeight="1">
      <c r="A9" s="119"/>
      <c r="B9" s="69"/>
      <c r="C9" s="68"/>
      <c r="D9" s="313" t="s">
        <v>63</v>
      </c>
      <c r="E9" s="313"/>
      <c r="F9" s="313"/>
      <c r="G9" s="313"/>
      <c r="H9" s="71">
        <f>I24</f>
        <v>1069.06</v>
      </c>
      <c r="I9" s="72" t="s">
        <v>28</v>
      </c>
    </row>
    <row r="10" spans="1:9" s="67" customFormat="1" ht="36" customHeight="1">
      <c r="A10" s="119"/>
      <c r="B10" s="69"/>
      <c r="C10" s="68"/>
      <c r="D10" s="318" t="s">
        <v>64</v>
      </c>
      <c r="E10" s="318"/>
      <c r="F10" s="318"/>
      <c r="G10" s="318"/>
      <c r="H10" s="239">
        <f>ИД!F23</f>
        <v>0.16900000000000001</v>
      </c>
      <c r="I10" s="264" t="str">
        <f>'ОС-01-01тек'!I10</f>
        <v>км</v>
      </c>
    </row>
    <row r="11" spans="1:9" s="67" customFormat="1" ht="36" customHeight="1">
      <c r="A11" s="119"/>
      <c r="B11" s="69"/>
      <c r="C11" s="68"/>
      <c r="D11" s="318" t="s">
        <v>65</v>
      </c>
      <c r="E11" s="318"/>
      <c r="F11" s="318"/>
      <c r="G11" s="318"/>
      <c r="H11" s="73">
        <f>H9/H10*1000</f>
        <v>6325798.8200000003</v>
      </c>
      <c r="I11" s="264" t="s">
        <v>66</v>
      </c>
    </row>
    <row r="12" spans="1:9" s="75" customFormat="1" ht="13.5">
      <c r="A12" s="120"/>
      <c r="B12" s="76"/>
      <c r="C12" s="76"/>
      <c r="D12" s="76"/>
      <c r="E12" s="76"/>
      <c r="F12" s="76"/>
      <c r="G12" s="77"/>
      <c r="H12" s="76"/>
      <c r="I12" s="76"/>
    </row>
    <row r="13" spans="1:9" s="75" customFormat="1" ht="13.5">
      <c r="A13" s="120"/>
      <c r="C13" s="77"/>
      <c r="D13" s="78" t="s">
        <v>27</v>
      </c>
      <c r="E13" s="78"/>
      <c r="F13" s="78"/>
      <c r="G13" s="78"/>
      <c r="H13" s="78"/>
      <c r="I13" s="78"/>
    </row>
    <row r="14" spans="1:9" ht="15.75">
      <c r="B14" s="263"/>
      <c r="C14" s="263"/>
      <c r="D14" s="63"/>
      <c r="E14" s="63"/>
      <c r="F14" s="63"/>
      <c r="G14" s="36"/>
      <c r="H14" s="34"/>
      <c r="I14" s="263"/>
    </row>
    <row r="15" spans="1:9" ht="15" customHeight="1">
      <c r="B15" s="319" t="s">
        <v>16</v>
      </c>
      <c r="C15" s="319" t="s">
        <v>67</v>
      </c>
      <c r="D15" s="319" t="s">
        <v>68</v>
      </c>
      <c r="E15" s="319" t="s">
        <v>17</v>
      </c>
      <c r="F15" s="319"/>
      <c r="G15" s="319"/>
      <c r="H15" s="319"/>
      <c r="I15" s="319"/>
    </row>
    <row r="16" spans="1:9" ht="88.5" customHeight="1">
      <c r="B16" s="319"/>
      <c r="C16" s="319"/>
      <c r="D16" s="319"/>
      <c r="E16" s="79" t="s">
        <v>69</v>
      </c>
      <c r="F16" s="262" t="s">
        <v>15</v>
      </c>
      <c r="G16" s="262" t="s">
        <v>70</v>
      </c>
      <c r="H16" s="262" t="s">
        <v>71</v>
      </c>
      <c r="I16" s="262" t="s">
        <v>18</v>
      </c>
    </row>
    <row r="17" spans="1:9">
      <c r="B17" s="11" t="s">
        <v>19</v>
      </c>
      <c r="C17" s="11" t="s">
        <v>20</v>
      </c>
      <c r="D17" s="11" t="s">
        <v>21</v>
      </c>
      <c r="E17" s="11" t="s">
        <v>22</v>
      </c>
      <c r="F17" s="11" t="s">
        <v>23</v>
      </c>
      <c r="G17" s="11" t="s">
        <v>24</v>
      </c>
      <c r="H17" s="11" t="s">
        <v>25</v>
      </c>
      <c r="I17" s="11" t="s">
        <v>26</v>
      </c>
    </row>
    <row r="18" spans="1:9" s="83" customFormat="1" ht="32.25" customHeight="1">
      <c r="A18" s="121"/>
      <c r="B18" s="81">
        <v>1</v>
      </c>
      <c r="C18" s="81" t="s">
        <v>88</v>
      </c>
      <c r="D18" s="85" t="s">
        <v>171</v>
      </c>
      <c r="E18" s="90">
        <v>952.22</v>
      </c>
      <c r="F18" s="90">
        <v>9.1</v>
      </c>
      <c r="G18" s="90">
        <v>2</v>
      </c>
      <c r="H18" s="90"/>
      <c r="I18" s="97">
        <f>SUM(E18:H18)</f>
        <v>963.32</v>
      </c>
    </row>
    <row r="19" spans="1:9" s="83" customFormat="1" ht="27.75" customHeight="1">
      <c r="A19" s="121"/>
      <c r="B19" s="81">
        <f>B18+1</f>
        <v>2</v>
      </c>
      <c r="C19" s="81" t="s">
        <v>170</v>
      </c>
      <c r="D19" s="85" t="s">
        <v>172</v>
      </c>
      <c r="E19" s="90">
        <v>55.09</v>
      </c>
      <c r="F19" s="90"/>
      <c r="G19" s="90"/>
      <c r="H19" s="90"/>
      <c r="I19" s="97">
        <f>SUM(E19:H19)</f>
        <v>55.09</v>
      </c>
    </row>
    <row r="20" spans="1:9" s="83" customFormat="1" ht="20.100000000000001" customHeight="1">
      <c r="A20" s="56"/>
      <c r="B20" s="86"/>
      <c r="C20" s="93"/>
      <c r="D20" s="87" t="s">
        <v>60</v>
      </c>
      <c r="E20" s="91">
        <f>SUM(E18:E19)</f>
        <v>1007.31</v>
      </c>
      <c r="F20" s="91">
        <f>SUM(F18:F19)</f>
        <v>9.1</v>
      </c>
      <c r="G20" s="91">
        <f>SUM(G18:G19)</f>
        <v>2</v>
      </c>
      <c r="H20" s="91"/>
      <c r="I20" s="91">
        <f>SUM(I18:I19)</f>
        <v>1018.41</v>
      </c>
    </row>
    <row r="21" spans="1:9" s="83" customFormat="1" ht="96" customHeight="1">
      <c r="A21" s="31">
        <f>ИД!$G$25%</f>
        <v>1.9199999999999998E-2</v>
      </c>
      <c r="B21" s="86">
        <f>B19+1</f>
        <v>3</v>
      </c>
      <c r="C21" s="88" t="str">
        <f>ИД!$A$25</f>
        <v>Методика утв. Приказом Минстрой РФ от 19.06.20г. №332/пр, Приложение 1, п.53</v>
      </c>
      <c r="D21" s="89" t="str">
        <f>CONCATENATE(ИД!$B$25," - ",ИД!$D$25,ИД!$E$25,"х",ИД!$F$25,"=",ИД!$G$25,ИД!$E$25)</f>
        <v>Временные здания и сооружения (Объекты непроизводственного значения:Сети газо-,тепло-, водоснабжения и водоотведения(очистные сооружения,насосные станции и т.п.) в черте города) - 2,4%х0,8=1,92%</v>
      </c>
      <c r="E21" s="90">
        <f>E20*A21</f>
        <v>19.34</v>
      </c>
      <c r="F21" s="90">
        <f>F20*A21</f>
        <v>0.17</v>
      </c>
      <c r="G21" s="91"/>
      <c r="H21" s="91"/>
      <c r="I21" s="90">
        <f>SUM(E21:H21)</f>
        <v>19.510000000000002</v>
      </c>
    </row>
    <row r="22" spans="1:9" s="83" customFormat="1" ht="20.100000000000001" customHeight="1">
      <c r="A22" s="56"/>
      <c r="B22" s="84"/>
      <c r="C22" s="84"/>
      <c r="D22" s="87" t="s">
        <v>60</v>
      </c>
      <c r="E22" s="91">
        <f>SUM(E20:E21)</f>
        <v>1026.6500000000001</v>
      </c>
      <c r="F22" s="91">
        <f>SUM(F20:F21)</f>
        <v>9.27</v>
      </c>
      <c r="G22" s="91">
        <f>SUM(G20:G21)</f>
        <v>2</v>
      </c>
      <c r="H22" s="91"/>
      <c r="I22" s="91">
        <f>SUM(I20:I21)</f>
        <v>1037.92</v>
      </c>
    </row>
    <row r="23" spans="1:9" s="83" customFormat="1" ht="67.5">
      <c r="A23" s="136">
        <f>ИД!$E$37</f>
        <v>0.03</v>
      </c>
      <c r="B23" s="86">
        <f>B21+1</f>
        <v>4</v>
      </c>
      <c r="C23" s="88" t="str">
        <f>ИД!$A$37</f>
        <v>Методика утв. Приказом Минстрой РФ от 04.08.2020г. №421/пр п.179</v>
      </c>
      <c r="D23" s="89" t="str">
        <f>CONCATENATE(ИД!$B$37," - ","3%",)</f>
        <v>Непредвиденные работы и затраты - 3%</v>
      </c>
      <c r="E23" s="90">
        <f>E22*A23</f>
        <v>30.8</v>
      </c>
      <c r="F23" s="90">
        <f>F22*A23</f>
        <v>0.28000000000000003</v>
      </c>
      <c r="G23" s="90">
        <f>G22*A23</f>
        <v>0.06</v>
      </c>
      <c r="H23" s="90"/>
      <c r="I23" s="90">
        <f>SUM(E23:H23)</f>
        <v>31.14</v>
      </c>
    </row>
    <row r="24" spans="1:9" s="83" customFormat="1" ht="20.100000000000001" customHeight="1">
      <c r="A24" s="56"/>
      <c r="B24" s="95"/>
      <c r="C24" s="96"/>
      <c r="D24" s="95" t="s">
        <v>61</v>
      </c>
      <c r="E24" s="91">
        <f>SUM(E22:E23)</f>
        <v>1057.45</v>
      </c>
      <c r="F24" s="91">
        <f>SUM(F22:F23)</f>
        <v>9.5500000000000007</v>
      </c>
      <c r="G24" s="91">
        <f>SUM(G22:G23)</f>
        <v>2.06</v>
      </c>
      <c r="H24" s="91">
        <f>SUM(H22:H23)</f>
        <v>0</v>
      </c>
      <c r="I24" s="91">
        <f>SUM(I22:I23)</f>
        <v>1069.06</v>
      </c>
    </row>
    <row r="26" spans="1:9" s="64" customFormat="1">
      <c r="A26" s="120"/>
      <c r="C26" s="94"/>
    </row>
    <row r="27" spans="1:9" s="64" customFormat="1">
      <c r="A27" s="120"/>
      <c r="C27" s="94"/>
      <c r="D27" s="13" t="s">
        <v>30</v>
      </c>
      <c r="G27" s="64" t="str">
        <f>ИД!B7</f>
        <v>Н.В.Петров</v>
      </c>
    </row>
    <row r="28" spans="1:9" s="64" customFormat="1">
      <c r="A28" s="120"/>
      <c r="C28" s="94"/>
      <c r="D28" s="14"/>
    </row>
    <row r="29" spans="1:9" s="64" customFormat="1">
      <c r="A29" s="120"/>
      <c r="C29" s="94"/>
      <c r="D29" s="15" t="str">
        <f>ИД!$A$8</f>
        <v>Составил</v>
      </c>
      <c r="G29" s="64" t="str">
        <f>ИД!$B$8</f>
        <v>А.В.Исаев</v>
      </c>
    </row>
    <row r="30" spans="1:9" s="64" customFormat="1">
      <c r="A30" s="120"/>
      <c r="C30" s="94"/>
      <c r="D30" s="15"/>
    </row>
    <row r="31" spans="1:9" s="64" customFormat="1">
      <c r="A31" s="120"/>
      <c r="C31" s="94"/>
      <c r="D31" s="15" t="str">
        <f>ИД!$A$9</f>
        <v>Проверил</v>
      </c>
      <c r="E31" s="65"/>
      <c r="G31" s="64" t="str">
        <f>ИД!$B$9</f>
        <v>Н.В.Петров</v>
      </c>
    </row>
    <row r="32" spans="1:9" s="64" customFormat="1">
      <c r="A32" s="120"/>
      <c r="C32" s="94"/>
      <c r="D32" s="16"/>
    </row>
    <row r="33" spans="1:3" s="64" customFormat="1">
      <c r="A33" s="120"/>
      <c r="C33" s="94"/>
    </row>
  </sheetData>
  <mergeCells count="12">
    <mergeCell ref="D10:G10"/>
    <mergeCell ref="D11:G11"/>
    <mergeCell ref="B15:B16"/>
    <mergeCell ref="C15:C16"/>
    <mergeCell ref="D15:D16"/>
    <mergeCell ref="E15:I15"/>
    <mergeCell ref="B1:I1"/>
    <mergeCell ref="B2:I2"/>
    <mergeCell ref="B4:I4"/>
    <mergeCell ref="B5:I5"/>
    <mergeCell ref="D7:H7"/>
    <mergeCell ref="D9:G9"/>
  </mergeCells>
  <pageMargins left="0.7" right="0.7" top="0.75" bottom="0.75" header="0.3" footer="0.3"/>
  <pageSetup paperSize="9" scale="66" orientation="portrait" horizontalDpi="30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24</vt:i4>
      </vt:variant>
    </vt:vector>
  </HeadingPairs>
  <TitlesOfParts>
    <vt:vector size="34" baseType="lpstr">
      <vt:lpstr>ИД</vt:lpstr>
      <vt:lpstr>ССРтек</vt:lpstr>
      <vt:lpstr>ОС-01-01тек</vt:lpstr>
      <vt:lpstr>ОС-06-01тек</vt:lpstr>
      <vt:lpstr>ОС-02-01 тек</vt:lpstr>
      <vt:lpstr>ССРбаз</vt:lpstr>
      <vt:lpstr>ОС-01-01</vt:lpstr>
      <vt:lpstr>ОС-06-01</vt:lpstr>
      <vt:lpstr>ОС-01-02</vt:lpstr>
      <vt:lpstr>в ПЗ</vt:lpstr>
      <vt:lpstr>'в ПЗ'!Print_Area</vt:lpstr>
      <vt:lpstr>ИД!Print_Area</vt:lpstr>
      <vt:lpstr>'ОС-01-01'!Print_Area</vt:lpstr>
      <vt:lpstr>'ОС-01-01тек'!Print_Area</vt:lpstr>
      <vt:lpstr>'ОС-06-01'!Print_Area</vt:lpstr>
      <vt:lpstr>'ОС-06-01тек'!Print_Area</vt:lpstr>
      <vt:lpstr>ССРбаз!Print_Area</vt:lpstr>
      <vt:lpstr>ССРтек!Print_Area</vt:lpstr>
      <vt:lpstr>'ОС-01-01'!Print_Titles</vt:lpstr>
      <vt:lpstr>'ОС-01-01тек'!Print_Titles</vt:lpstr>
      <vt:lpstr>ССРбаз!Print_Titles</vt:lpstr>
      <vt:lpstr>ССРтек!Print_Titles</vt:lpstr>
      <vt:lpstr>ССРбаз!Заголовки_для_печати</vt:lpstr>
      <vt:lpstr>ССРтек!Заголовки_для_печати</vt:lpstr>
      <vt:lpstr>'в ПЗ'!Область_печати</vt:lpstr>
      <vt:lpstr>ИД!Область_печати</vt:lpstr>
      <vt:lpstr>'ОС-01-01'!Область_печати</vt:lpstr>
      <vt:lpstr>'ОС-01-01тек'!Область_печати</vt:lpstr>
      <vt:lpstr>'ОС-01-02'!Область_печати</vt:lpstr>
      <vt:lpstr>'ОС-02-01 тек'!Область_печати</vt:lpstr>
      <vt:lpstr>'ОС-06-01'!Область_печати</vt:lpstr>
      <vt:lpstr>'ОС-06-01тек'!Область_печати</vt:lpstr>
      <vt:lpstr>ССРбаз!Область_печати</vt:lpstr>
      <vt:lpstr>ССРтек!Область_печати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2023-04-21T00:38:30Z</dcterms:modified>
</cp:coreProperties>
</file>